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5200" windowHeight="11760" tabRatio="893"/>
  </bookViews>
  <sheets>
    <sheet name="Credit Share Submissions" sheetId="3" r:id="rId1"/>
  </sheets>
  <externalReferences>
    <externalReference r:id="rId2"/>
    <externalReference r:id="rId3"/>
    <externalReference r:id="rId4"/>
  </externalReferences>
  <definedNames>
    <definedName name="Agency">'[1]Dropdown Lists'!$D$4:$D$293</definedName>
    <definedName name="AgencyType">'[1]Dropdown Lists'!$E$4:$E$10</definedName>
    <definedName name="COIForm">'[1]Dropdown Lists'!$G$4:$G$6</definedName>
    <definedName name="COITraining">'[1]Dropdown Lists'!$H$4:$H$6</definedName>
    <definedName name="College">'[1]Dropdown Lists'!$C$4:$C$19</definedName>
    <definedName name="Dept">'[1]Dropdown Lists'!$B$4:$B$95</definedName>
    <definedName name="PI">'[1]Dropdown Lists'!$A$4:$A$240</definedName>
    <definedName name="RadioBio">'[1]Dropdown Lists'!$K$4:$K$6</definedName>
    <definedName name="RCRTraining">'[1]Dropdown Lists'!$I$4:$I$6</definedName>
    <definedName name="Use">'[1]Dropdown Lists'!$F$4:$F$10</definedName>
    <definedName name="YesNo">'[1]Dropdown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2" i="3" l="1"/>
  <c r="M372" i="3"/>
  <c r="M471" i="3"/>
  <c r="M470" i="3"/>
  <c r="M469" i="3"/>
  <c r="M158" i="3"/>
  <c r="M161" i="3"/>
  <c r="M183" i="3"/>
  <c r="M307" i="3"/>
  <c r="M184" i="3"/>
  <c r="M185" i="3"/>
  <c r="M388" i="3"/>
  <c r="M387" i="3"/>
  <c r="M149" i="3" l="1"/>
  <c r="M148" i="3"/>
  <c r="M151" i="3"/>
  <c r="M150" i="3"/>
  <c r="M550" i="3"/>
  <c r="M574" i="3"/>
  <c r="M556" i="3"/>
  <c r="M548" i="3"/>
  <c r="M305" i="3"/>
  <c r="M365" i="3" l="1"/>
  <c r="M364" i="3"/>
  <c r="J318" i="3" l="1"/>
  <c r="M318" i="3"/>
  <c r="M297" i="3"/>
  <c r="M296" i="3"/>
  <c r="M28" i="3"/>
  <c r="M24" i="3"/>
  <c r="M27" i="3"/>
  <c r="M26" i="3"/>
  <c r="M23" i="3"/>
  <c r="M22" i="3"/>
  <c r="M25" i="3"/>
  <c r="M341" i="3"/>
  <c r="M340" i="3"/>
  <c r="M138" i="3"/>
  <c r="M137" i="3"/>
  <c r="M281" i="3"/>
  <c r="M283" i="3"/>
  <c r="M280" i="3"/>
  <c r="M338" i="3"/>
  <c r="M339" i="3"/>
  <c r="M290" i="3"/>
  <c r="M284" i="3"/>
  <c r="M289" i="3"/>
  <c r="M277" i="3"/>
  <c r="M278" i="3"/>
  <c r="M276" i="3"/>
  <c r="M288" i="3"/>
  <c r="M287" i="3"/>
  <c r="M285" i="3"/>
  <c r="M286" i="3"/>
  <c r="M393" i="3"/>
  <c r="M394" i="3"/>
  <c r="M69" i="3" l="1"/>
  <c r="M271" i="3"/>
  <c r="M270" i="3"/>
  <c r="M269" i="3"/>
  <c r="M268" i="3"/>
  <c r="M267" i="3"/>
  <c r="M336" i="3"/>
  <c r="M401" i="3"/>
  <c r="M196" i="3"/>
  <c r="M430" i="3"/>
  <c r="M428" i="3"/>
  <c r="M429" i="3"/>
  <c r="M427" i="3"/>
  <c r="M591" i="3"/>
  <c r="M590" i="3"/>
  <c r="M127" i="3"/>
  <c r="M126" i="3"/>
  <c r="M463" i="3"/>
  <c r="M260" i="3"/>
  <c r="M261" i="3"/>
  <c r="M258" i="3"/>
  <c r="M125" i="3"/>
  <c r="M124" i="3"/>
  <c r="M123" i="3"/>
  <c r="M122" i="3"/>
  <c r="M181" i="3"/>
  <c r="M180" i="3"/>
  <c r="M542" i="3"/>
  <c r="M541" i="3"/>
  <c r="M263" i="3"/>
  <c r="M257" i="3"/>
  <c r="M262" i="3"/>
  <c r="M256" i="3"/>
  <c r="M255" i="3"/>
  <c r="M253" i="3"/>
  <c r="M250" i="3"/>
  <c r="M178" i="3"/>
  <c r="M194" i="3" l="1"/>
  <c r="J194" i="3"/>
  <c r="M462" i="3" l="1"/>
  <c r="M247" i="3"/>
  <c r="M461" i="3"/>
  <c r="M460" i="3"/>
  <c r="M458" i="3"/>
  <c r="M459" i="3"/>
  <c r="M457" i="3"/>
  <c r="M18" i="3"/>
  <c r="M8" i="3" s="1"/>
  <c r="M245" i="3"/>
  <c r="M385" i="3"/>
  <c r="M384" i="3"/>
  <c r="M383" i="3"/>
  <c r="M239" i="3"/>
  <c r="M238" i="3"/>
  <c r="M362" i="3"/>
  <c r="M358" i="3"/>
  <c r="M233" i="3"/>
  <c r="M119" i="3"/>
  <c r="M118" i="3"/>
  <c r="M116" i="3"/>
  <c r="M115" i="3"/>
  <c r="M3" i="3"/>
  <c r="M33" i="3"/>
  <c r="M42" i="3"/>
  <c r="M50" i="3"/>
  <c r="M57" i="3"/>
  <c r="M88" i="3"/>
  <c r="M92" i="3"/>
  <c r="M96" i="3"/>
  <c r="M169" i="3"/>
  <c r="M174" i="3"/>
  <c r="M198" i="3"/>
  <c r="M202" i="3"/>
  <c r="M376" i="3"/>
  <c r="M397" i="3"/>
  <c r="M408" i="3"/>
  <c r="M474" i="3"/>
  <c r="M490" i="3"/>
  <c r="M497" i="3"/>
  <c r="M509" i="3"/>
  <c r="M520" i="3"/>
  <c r="M531" i="3"/>
  <c r="M562" i="3"/>
  <c r="M568" i="3"/>
  <c r="M577" i="3"/>
  <c r="M582" i="3"/>
  <c r="M419" i="3"/>
  <c r="M390" i="3"/>
  <c r="M328" i="3"/>
  <c r="M187" i="3"/>
  <c r="J328" i="3"/>
  <c r="J57" i="3"/>
  <c r="J582" i="3"/>
  <c r="J577" i="3"/>
  <c r="J568" i="3"/>
  <c r="J562" i="3"/>
  <c r="J531" i="3"/>
  <c r="J520" i="3"/>
  <c r="J509" i="3"/>
  <c r="J497" i="3"/>
  <c r="J490" i="3"/>
  <c r="J474" i="3"/>
  <c r="J419" i="3"/>
  <c r="J408" i="3"/>
  <c r="J397" i="3"/>
  <c r="J390" i="3"/>
  <c r="J376" i="3"/>
  <c r="J202" i="3"/>
  <c r="J169" i="3"/>
  <c r="J198" i="3"/>
  <c r="J187" i="3"/>
  <c r="J174" i="3"/>
  <c r="J96" i="3"/>
  <c r="J92" i="3"/>
  <c r="J88" i="3"/>
  <c r="J50" i="3"/>
  <c r="J42" i="3"/>
  <c r="J33" i="3"/>
  <c r="J3" i="3"/>
  <c r="J351" i="3" l="1"/>
  <c r="M351" i="3"/>
  <c r="M396" i="3"/>
  <c r="M173" i="3"/>
  <c r="J173" i="3"/>
  <c r="M530" i="3"/>
  <c r="J8" i="3"/>
  <c r="J209" i="3"/>
  <c r="M56" i="3"/>
  <c r="M41" i="3"/>
  <c r="J56" i="3"/>
  <c r="M209" i="3"/>
  <c r="J530" i="3"/>
  <c r="J41" i="3"/>
  <c r="J396" i="3"/>
  <c r="M7" i="3"/>
  <c r="M380" i="3"/>
  <c r="J452" i="3"/>
  <c r="J418" i="3" s="1"/>
  <c r="M452" i="3"/>
  <c r="M418" i="3" s="1"/>
  <c r="M107" i="3"/>
  <c r="M106" i="3" s="1"/>
  <c r="J107" i="3"/>
  <c r="J380" i="3"/>
  <c r="M208" i="3" l="1"/>
  <c r="J208" i="3"/>
  <c r="J7" i="3"/>
  <c r="J106" i="3"/>
  <c r="M2" i="3" l="1"/>
  <c r="J2" i="3"/>
</calcChain>
</file>

<file path=xl/sharedStrings.xml><?xml version="1.0" encoding="utf-8"?>
<sst xmlns="http://schemas.openxmlformats.org/spreadsheetml/2006/main" count="4473" uniqueCount="736">
  <si>
    <t>Requested Funding:</t>
  </si>
  <si>
    <t>Number Submitted:</t>
  </si>
  <si>
    <t>Proposal Received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</si>
  <si>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</si>
  <si>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</si>
  <si>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</si>
  <si>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</si>
  <si>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</si>
  <si>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</si>
  <si>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</si>
  <si>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</si>
  <si>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</si>
  <si>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Funding Requested</t>
  </si>
  <si>
    <t>Administrative &amp; Information Services</t>
  </si>
  <si>
    <t>Bull Shoals Field Station</t>
  </si>
  <si>
    <t>Center for Applied Science &amp; Engineering</t>
  </si>
  <si>
    <t>Center for Archaeological Research</t>
  </si>
  <si>
    <t>Center for Biomedical &amp; Life Sciences</t>
  </si>
  <si>
    <t>Center for Dispute Resolution</t>
  </si>
  <si>
    <t>Center for Economic Research</t>
  </si>
  <si>
    <t>Center for Grapevine Biotechnology</t>
  </si>
  <si>
    <t>Center for Project Innovation &amp; Management</t>
  </si>
  <si>
    <t>Center for Research &amp; Service</t>
  </si>
  <si>
    <t>Center for Resource Planning &amp; Management</t>
  </si>
  <si>
    <t>College of Arts &amp; Letters</t>
  </si>
  <si>
    <t>College of Business</t>
  </si>
  <si>
    <t>College of Education</t>
  </si>
  <si>
    <t>Institute for Play Therapy</t>
  </si>
  <si>
    <t>Institute for School Improvement</t>
  </si>
  <si>
    <t>College of Health &amp; Human Services</t>
  </si>
  <si>
    <t>College of Humanities &amp; Public Affairs</t>
  </si>
  <si>
    <t>Center for Social Science &amp; Public Policy Research</t>
  </si>
  <si>
    <t>College of Natural &amp; Applied Sciences</t>
  </si>
  <si>
    <t>Ozark Environmental Water Research Institute</t>
  </si>
  <si>
    <t>Diversity &amp; Inclusion</t>
  </si>
  <si>
    <t>Graduate College</t>
  </si>
  <si>
    <t>Library</t>
  </si>
  <si>
    <t>President</t>
  </si>
  <si>
    <t>Provost</t>
  </si>
  <si>
    <t>Ozarks Public Health Institute</t>
  </si>
  <si>
    <t>Research &amp; Economic Development</t>
  </si>
  <si>
    <t>International Leadership &amp; Training Center</t>
  </si>
  <si>
    <t>Jordan Valley Innovation Center</t>
  </si>
  <si>
    <t>Southwest Missouri Area Health Education Center</t>
  </si>
  <si>
    <t>School of Agriculture</t>
  </si>
  <si>
    <t>Mid-America Viticulture &amp; Enology Center</t>
  </si>
  <si>
    <t>Student Affairs</t>
  </si>
  <si>
    <t>West Plains</t>
  </si>
  <si>
    <t>Southwest Regional Professional Development Center</t>
  </si>
  <si>
    <t>Center for Resrouce Planning &amp; Management</t>
  </si>
  <si>
    <t>Small Business Development &amp; Techonology Center</t>
  </si>
  <si>
    <t xml:space="preserve"> Credit Share Submissions by Department</t>
  </si>
  <si>
    <t>Education</t>
  </si>
  <si>
    <t>Service</t>
  </si>
  <si>
    <t>Facilities &amp; Infrastructure</t>
  </si>
  <si>
    <t>International</t>
  </si>
  <si>
    <t>Equipment</t>
  </si>
  <si>
    <t>Business</t>
  </si>
  <si>
    <t>Other</t>
  </si>
  <si>
    <t>BIO</t>
  </si>
  <si>
    <t>CNAS</t>
  </si>
  <si>
    <t>Developing Methods for Laboratory Culture of Diverse Species of Freshwater Mussels</t>
  </si>
  <si>
    <t>Federal</t>
  </si>
  <si>
    <t>CHHS</t>
  </si>
  <si>
    <t>CASE</t>
  </si>
  <si>
    <t>VPRED</t>
  </si>
  <si>
    <t>PROV</t>
  </si>
  <si>
    <t>OPHI</t>
  </si>
  <si>
    <t>Skaggs Foundation</t>
  </si>
  <si>
    <t>Non-Profit</t>
  </si>
  <si>
    <t>State</t>
  </si>
  <si>
    <t>DEV</t>
  </si>
  <si>
    <t>WP</t>
  </si>
  <si>
    <t>CAR</t>
  </si>
  <si>
    <t>CHPA</t>
  </si>
  <si>
    <t>National Science Foundation</t>
  </si>
  <si>
    <t>PAMS</t>
  </si>
  <si>
    <t>Missouri Department of Elementary and Secondary Education</t>
  </si>
  <si>
    <t>COAL</t>
  </si>
  <si>
    <t>SMAT</t>
  </si>
  <si>
    <t>Evangel University</t>
  </si>
  <si>
    <t>Graduate Assistant/Internship Funding - Evangel</t>
  </si>
  <si>
    <t>SWRPDC</t>
  </si>
  <si>
    <t>COE</t>
  </si>
  <si>
    <t>CRPM</t>
  </si>
  <si>
    <t>Missouri Office of Homeland Security</t>
  </si>
  <si>
    <t>CHEM</t>
  </si>
  <si>
    <t>FA</t>
  </si>
  <si>
    <t>SA</t>
  </si>
  <si>
    <t>Missouri Department of Higher Education</t>
  </si>
  <si>
    <t>Default Prevention Grant</t>
  </si>
  <si>
    <t>Southwest Regional Professional Development Center Consolidated Contract</t>
  </si>
  <si>
    <t>National Writing Project</t>
  </si>
  <si>
    <t>CLSE</t>
  </si>
  <si>
    <t>MATH</t>
  </si>
  <si>
    <t>National Aeronautics and Space Administration</t>
  </si>
  <si>
    <t>US Department of Education</t>
  </si>
  <si>
    <t>US Department of Homeland Security</t>
  </si>
  <si>
    <t>ENG</t>
  </si>
  <si>
    <t>EGR</t>
  </si>
  <si>
    <t>CS</t>
  </si>
  <si>
    <t>LIB</t>
  </si>
  <si>
    <t>US Geological Survey</t>
  </si>
  <si>
    <t>Barnhart, M Chris</t>
  </si>
  <si>
    <t>N/A</t>
  </si>
  <si>
    <t>City/County</t>
  </si>
  <si>
    <t>Keeth, Jonathan</t>
  </si>
  <si>
    <t>Curry, Matthew</t>
  </si>
  <si>
    <t>Duitsman, Dalen</t>
  </si>
  <si>
    <t>Lancaster, Dennis</t>
  </si>
  <si>
    <t>Lopinot, Neal</t>
  </si>
  <si>
    <t>University of Missouri</t>
  </si>
  <si>
    <t>Craig, Christopher</t>
  </si>
  <si>
    <t>Plavchan, Peter</t>
  </si>
  <si>
    <t>Berquist, Charlene</t>
  </si>
  <si>
    <t>Hetzler, Tona</t>
  </si>
  <si>
    <t>Breault, Rick</t>
  </si>
  <si>
    <t>Wittorff-Sandgren, Dorothy</t>
  </si>
  <si>
    <t>May, Diane</t>
  </si>
  <si>
    <t>Franklin, Keri</t>
  </si>
  <si>
    <t>MacGregor, Cynthia</t>
  </si>
  <si>
    <t>Anderson, Rayanna</t>
  </si>
  <si>
    <t>Pierson, Matthew</t>
  </si>
  <si>
    <t>Cornelison, David</t>
  </si>
  <si>
    <t>Hallgren, Deanna</t>
  </si>
  <si>
    <t>Reid, Les</t>
  </si>
  <si>
    <t>Rebaza-Vasquez, Jorge</t>
  </si>
  <si>
    <t>Sun, Xingping</t>
  </si>
  <si>
    <t>Senger, Steven</t>
  </si>
  <si>
    <t>Richards, David</t>
  </si>
  <si>
    <t>Piccolo, Diana</t>
  </si>
  <si>
    <t>Mickus, Kevin</t>
  </si>
  <si>
    <t>GGP</t>
  </si>
  <si>
    <t>AGR</t>
  </si>
  <si>
    <t>US Department of Agriculture</t>
  </si>
  <si>
    <t>Remley, Melissa</t>
  </si>
  <si>
    <t>Durham, Paul</t>
  </si>
  <si>
    <t>CBLS</t>
  </si>
  <si>
    <t>Kammerer, Joseph</t>
  </si>
  <si>
    <t>US Bank</t>
  </si>
  <si>
    <t>Reed, Michael</t>
  </si>
  <si>
    <t>Meinert, David</t>
  </si>
  <si>
    <t>COB</t>
  </si>
  <si>
    <t>International Management Education Center</t>
  </si>
  <si>
    <t>Dollar, Susan</t>
  </si>
  <si>
    <t>Black, Alice</t>
  </si>
  <si>
    <t>Rimal, Arbindra</t>
  </si>
  <si>
    <t>Lehman, Timothy</t>
  </si>
  <si>
    <t>Regional Demonstration Center</t>
  </si>
  <si>
    <t>Kunkel, Allen</t>
  </si>
  <si>
    <t>CSD</t>
  </si>
  <si>
    <t>Robbins, Lynn</t>
  </si>
  <si>
    <t>Peters, Thomas</t>
  </si>
  <si>
    <t>BMS</t>
  </si>
  <si>
    <t>Pavlowsky, Robert</t>
  </si>
  <si>
    <t>OEWRI</t>
  </si>
  <si>
    <t>B Acct</t>
  </si>
  <si>
    <t>Cunningham, Denise</t>
  </si>
  <si>
    <t>Arthaud, Tamara</t>
  </si>
  <si>
    <t>Farris, Robin</t>
  </si>
  <si>
    <t>Oswalt, Jill</t>
  </si>
  <si>
    <t>Sellers, Marie</t>
  </si>
  <si>
    <t>Capps, Steven</t>
  </si>
  <si>
    <t>Mitchell, D W</t>
  </si>
  <si>
    <t>Stone, Lorene</t>
  </si>
  <si>
    <t>Mathis, S Alicia</t>
  </si>
  <si>
    <t>Elliott, W Anson</t>
  </si>
  <si>
    <t>Underwood, Tabitha</t>
  </si>
  <si>
    <t>Castrey, Raymond</t>
  </si>
  <si>
    <t>Jahnke, Tamera</t>
  </si>
  <si>
    <t>Alsup, Jennifer</t>
  </si>
  <si>
    <t>Greene, Janice</t>
  </si>
  <si>
    <t>Witkowski, Colette</t>
  </si>
  <si>
    <t>Robison, Jane</t>
  </si>
  <si>
    <t>Beckman, Daniel</t>
  </si>
  <si>
    <t>City of Springfield</t>
  </si>
  <si>
    <t>SOAR: Mental Health Trauma Intervention Program</t>
  </si>
  <si>
    <t>Qiu, Wenping</t>
  </si>
  <si>
    <t>CGB</t>
  </si>
  <si>
    <t>Ghosh, Kartik</t>
  </si>
  <si>
    <t>Owen, Marc</t>
  </si>
  <si>
    <t>CASL</t>
  </si>
  <si>
    <t>Grant External Evaluation Services</t>
  </si>
  <si>
    <t>US Environmental Protection Agency</t>
  </si>
  <si>
    <t>Grbac, Kris</t>
  </si>
  <si>
    <t>White, Letitia</t>
  </si>
  <si>
    <t>Kaf, Wafaa</t>
  </si>
  <si>
    <t>Precise Radial Velocities in the Red and Near-Infrared</t>
  </si>
  <si>
    <t>Wanekaya, Adam</t>
  </si>
  <si>
    <t>Wiley, Tammy</t>
  </si>
  <si>
    <t>US Army Corp of Engineers</t>
  </si>
  <si>
    <t>Faucett, David</t>
  </si>
  <si>
    <t>Hwang, Chin-Feng</t>
  </si>
  <si>
    <t>Science, Technology, and Engineering for Elementary Educators Integrating Literacy (STEEL)</t>
  </si>
  <si>
    <t>Hainan University Teacher Training Program</t>
  </si>
  <si>
    <t>Hickey, Dennis</t>
  </si>
  <si>
    <t>PLS</t>
  </si>
  <si>
    <t>Basic Research</t>
  </si>
  <si>
    <t>Applied Research</t>
  </si>
  <si>
    <t>Cox, Erica</t>
  </si>
  <si>
    <t>Moore, Renee</t>
  </si>
  <si>
    <t>Garland, Brett</t>
  </si>
  <si>
    <t>3rd Quarter Lease &amp; Affiliate Fees - JVIC</t>
  </si>
  <si>
    <t>1st Quarter Lease &amp; Affiliate Fees - Incubator</t>
  </si>
  <si>
    <t>2nd Quarter Lease &amp; Affiliate Fees - Incubator</t>
  </si>
  <si>
    <t>3rd Quarter Lease &amp; Affiliate Fees - Incubator</t>
  </si>
  <si>
    <t>Speer, Robert</t>
  </si>
  <si>
    <t>Development Research</t>
  </si>
  <si>
    <t>Curators for the University of Missouri</t>
  </si>
  <si>
    <t>Blindness/Low Vision/Orientation &amp; Mobility Tuition Grant</t>
  </si>
  <si>
    <t>Universal Newborn Hearing Screening: Reducing Lost to Follow Up</t>
  </si>
  <si>
    <t>National Institutes of Health</t>
  </si>
  <si>
    <t>Kansas State University</t>
  </si>
  <si>
    <t>ASMT</t>
  </si>
  <si>
    <t>Missouri Fine Arts Academy</t>
  </si>
  <si>
    <t>Partnership to Conduct Vital Signs Monitoring of Natural Resources in 15 NPS Units</t>
  </si>
  <si>
    <t>Regional Partnership Grant: Preserving Families Through Partnership Together</t>
  </si>
  <si>
    <t>Engler, Karen</t>
  </si>
  <si>
    <t>Cochlear Implant Consultation DESE</t>
  </si>
  <si>
    <t>US Forest Service</t>
  </si>
  <si>
    <t>Audiology Consultant - Newborn Hearing Screening</t>
  </si>
  <si>
    <t>Oetting, Tara</t>
  </si>
  <si>
    <t>Stout, Michael</t>
  </si>
  <si>
    <t>S&amp;A</t>
  </si>
  <si>
    <t>4th Quarter Lease &amp; Affiliate Fees - JVIC</t>
  </si>
  <si>
    <t>4th Quarter Lease &amp; Affiliate Fees - Incubator</t>
  </si>
  <si>
    <t>Ray, Jason</t>
  </si>
  <si>
    <t>Kline, Katie</t>
  </si>
  <si>
    <t>Missouri State University Fiscal Year 2016</t>
  </si>
  <si>
    <t>Mark Twain NSF Watershed Moniroting Project</t>
  </si>
  <si>
    <t>Stormwater Basin Post-Monitoring Continuation Project</t>
  </si>
  <si>
    <t>Conformal Side-Mounted Antenna for Proximity Fuze</t>
  </si>
  <si>
    <t>BAE Systems</t>
  </si>
  <si>
    <t>Summer Teaching-MU Cooperative Doctoral Program</t>
  </si>
  <si>
    <t>Cooperative EdD Program - Summer 2015-Professional Development Funds for Advising</t>
  </si>
  <si>
    <t>Michelfelder, Gary</t>
  </si>
  <si>
    <t>RUI:  Insights into magma differentiatio and storage beneath continental arc volcanoes:  A geochemistry, magnetotellurics and gravity study of Volcan Putana, Central Volcanic Zone, Chile</t>
  </si>
  <si>
    <t>Calfano, Brian</t>
  </si>
  <si>
    <t>SBIR Phase I: Human Relations in Los Angeles 50 Years After Watts</t>
  </si>
  <si>
    <t>Luo, Jun</t>
  </si>
  <si>
    <t>Web GIS Applications for Shamrock Marketing Field Agents</t>
  </si>
  <si>
    <t>Shamrock Marketing Services, Inc.</t>
  </si>
  <si>
    <t>STEM-Based Literacy:  A Statewide Initiative</t>
  </si>
  <si>
    <t>Teacher Leadership Seed Grant - GKCWP</t>
  </si>
  <si>
    <t>OWP - Implementing Literacy Toward the Missouri Learning Standard</t>
  </si>
  <si>
    <t>Wright, Joan</t>
  </si>
  <si>
    <t>Adult Education &amp; Literacy</t>
  </si>
  <si>
    <t>CAREER: Precise Radial Velocities in the Red and Near-Infrared for Exoplanet Detection</t>
  </si>
  <si>
    <t>Innovation Learning Labs</t>
  </si>
  <si>
    <t>PAST Foundation</t>
  </si>
  <si>
    <t>Big River Riffle-Basin Structure Monitoring Project</t>
  </si>
  <si>
    <t>Morris, Robert T</t>
  </si>
  <si>
    <t>Photoluminscence of Protein and RNA Nanocomposites: Interactions, Delivery and Signaling Pathways in 3-D Metastatic Foci</t>
  </si>
  <si>
    <t>K2 Observations of Pulsating Subdwarf B Stars in Fields 6 and 7</t>
  </si>
  <si>
    <t>Graduate Assistantship Funding</t>
  </si>
  <si>
    <t>Drury University</t>
  </si>
  <si>
    <t>other</t>
  </si>
  <si>
    <t>Missouri Space Grant</t>
  </si>
  <si>
    <t>GKCWP - Implementing Literacy toward the Missouri Learning Standards</t>
  </si>
  <si>
    <t>Springfield MS4 Monitoring Project</t>
  </si>
  <si>
    <t>Southwest Missouri Council of Governments FY15 Homeland Security Work Program</t>
  </si>
  <si>
    <t>Region D FY15 Homeland Security Grant Program</t>
  </si>
  <si>
    <t>Moore, Robert</t>
  </si>
  <si>
    <t>Norgren, Michelle</t>
  </si>
  <si>
    <t>VESTA National Center of Excellence</t>
  </si>
  <si>
    <t>MVEC</t>
  </si>
  <si>
    <t>Perkins, Amanda</t>
  </si>
  <si>
    <t>Mixed Methods Exploration of Factors Influencing Physical Activity Behavior among African American College Women</t>
  </si>
  <si>
    <t>KIN</t>
  </si>
  <si>
    <t>Association of Applied Sport Psychology</t>
  </si>
  <si>
    <t>NIRSPEC Precise Radial Velocity Initiative</t>
  </si>
  <si>
    <t>Behavioral and Cellular Effects of Vagal Nerve Stimulation</t>
  </si>
  <si>
    <t>electroCore LLC</t>
  </si>
  <si>
    <t>Hall, Lisa C</t>
  </si>
  <si>
    <t>Regional Health Assessment Focus Group Study</t>
  </si>
  <si>
    <t>Springfield Greene County Public Health Department</t>
  </si>
  <si>
    <t>REU Site: Research Experiences for Undergraduates in Mathematics at MSU</t>
  </si>
  <si>
    <t>Onyango, Benjamin</t>
  </si>
  <si>
    <t>Leveraging limited resources for meat goat farmers: An income anhancement strategy for rural development addressing production, marketing and outreach linking Missouri and Georgia</t>
  </si>
  <si>
    <t>Walker, Elizabeth</t>
  </si>
  <si>
    <t>Preparing 21st century employees through innovative curricula, faculty training and recruitment of diverse student populations into agriculture</t>
  </si>
  <si>
    <t>Sudbrock, Christine</t>
  </si>
  <si>
    <t>City of Springfield Biological Assessment of Urban Streams XII</t>
  </si>
  <si>
    <t>Expanding Research and Education Capacities on High-Throughput Phenotyping Methods for Grape Berry Quality Assessment</t>
  </si>
  <si>
    <t>China EMBA Cohort 27</t>
  </si>
  <si>
    <t>China EMBA Cohort 28</t>
  </si>
  <si>
    <t>2015 OLGA Transcription Project</t>
  </si>
  <si>
    <t>Black Tie</t>
  </si>
  <si>
    <t>Iqbal, Razib</t>
  </si>
  <si>
    <t>Azure Educator Award</t>
  </si>
  <si>
    <t>Microsoft</t>
  </si>
  <si>
    <t>College Parent Resource Center</t>
  </si>
  <si>
    <t>MFA Oil Foundation</t>
  </si>
  <si>
    <t>General Operating Support</t>
  </si>
  <si>
    <t>WFIRST SIT-E: Maximizing the Exoplanetary Science Return from the SFIRST Mission and Coronagraphic Instrument</t>
  </si>
  <si>
    <t>University of Arizona</t>
  </si>
  <si>
    <t>Canales, Roberto</t>
  </si>
  <si>
    <t>Physician Assistant Alcohol Education and SBIRT Training Program in Missouri</t>
  </si>
  <si>
    <t>PAS</t>
  </si>
  <si>
    <t>Substance Abuse and Mental Health Services Administration</t>
  </si>
  <si>
    <t>Cleveland, Tracy</t>
  </si>
  <si>
    <t>Innovation Center Contract FY 2016</t>
  </si>
  <si>
    <t>JVIC</t>
  </si>
  <si>
    <t>Missouri Technology Corporation</t>
  </si>
  <si>
    <t>SBTDC FY14 Carry-Forward Funding</t>
  </si>
  <si>
    <t>SBTDC</t>
  </si>
  <si>
    <t>US Small Business Administration</t>
  </si>
  <si>
    <t>Gravity data collection in Bhutan</t>
  </si>
  <si>
    <t>National Geospatial-Intelligence Agency</t>
  </si>
  <si>
    <t>Cooperative EdD Program - Fall 2015-Spring 2016</t>
  </si>
  <si>
    <t>Buchanan, Erin</t>
  </si>
  <si>
    <t>To see or not to see: Perceptual learning in organic chemistry</t>
  </si>
  <si>
    <t>PSY</t>
  </si>
  <si>
    <t>Bhattacharyya, Gautam</t>
  </si>
  <si>
    <t>Northern Long-Eared Bat Survey and Assessment, For Leonard Wood, Missouri</t>
  </si>
  <si>
    <t>Northern Long-Eared Bat Survey and Assessment, For Leavenworth, Kansas</t>
  </si>
  <si>
    <t>Habitat assessment for former machine gun range, Fort Leonard Wood, Missouri</t>
  </si>
  <si>
    <t>A collaborative study on epidemics and transmission of Grapevine vein clearing virus in Missouri Vineyards</t>
  </si>
  <si>
    <t>Missouri Department of Agriculture</t>
  </si>
  <si>
    <t>National Park Service</t>
  </si>
  <si>
    <t>Technical services to update the Middle James Watershed Plan</t>
  </si>
  <si>
    <t>James River Basin Partnership</t>
  </si>
  <si>
    <t>Behzadan, Amir</t>
  </si>
  <si>
    <t>Real Time Feedback Enabled Simulation Modeling of Dynamic Construction Processes</t>
  </si>
  <si>
    <t>TCM</t>
  </si>
  <si>
    <t>NIRSPEC MRI Proposal</t>
  </si>
  <si>
    <t>California Institute of Technology, Jet Propulsion Laboratory</t>
  </si>
  <si>
    <t>Southwest Missouri Council of Governments 2016 Development Grant</t>
  </si>
  <si>
    <t>Missouri Office of Adminstration</t>
  </si>
  <si>
    <t>Patel, Rishi</t>
  </si>
  <si>
    <t>Advancing Carbon Nanomaterials Based Device Manufacturing Through Life Cycle Analysis, Risk Analysis, and Mitigation</t>
  </si>
  <si>
    <t>Department of the Army</t>
  </si>
  <si>
    <t>Schweiger, Paul</t>
  </si>
  <si>
    <t>RUI: Essential Collective Dynamics of Hydrogen Bonding and Hydrophobic Interactions for Protein Stability Assessment and Rational Improvement</t>
  </si>
  <si>
    <t>Stepanova, Maria</t>
  </si>
  <si>
    <t>B02430</t>
  </si>
  <si>
    <t>BMS - Metabolic Cart Lab</t>
  </si>
  <si>
    <t>B02614</t>
  </si>
  <si>
    <t>Claborn, David</t>
  </si>
  <si>
    <t>MPH Road to Terror</t>
  </si>
  <si>
    <t>MPH</t>
  </si>
  <si>
    <t>B02119</t>
  </si>
  <si>
    <t>Project Success</t>
  </si>
  <si>
    <t>PS</t>
  </si>
  <si>
    <t>B02116</t>
  </si>
  <si>
    <t>Physical Therapy Clinic</t>
  </si>
  <si>
    <t>PTC</t>
  </si>
  <si>
    <t>B02112</t>
  </si>
  <si>
    <t>Speech, Language, Hearing Center</t>
  </si>
  <si>
    <t>SLHC</t>
  </si>
  <si>
    <t>B02122</t>
  </si>
  <si>
    <t>Center for Archeological Research</t>
  </si>
  <si>
    <t>B02125</t>
  </si>
  <si>
    <t>CER</t>
  </si>
  <si>
    <t>B02126</t>
  </si>
  <si>
    <t>CSSPPR</t>
  </si>
  <si>
    <t>B02607</t>
  </si>
  <si>
    <t>Leis, Sherry</t>
  </si>
  <si>
    <t>BIO - Patch Burn Grazing</t>
  </si>
  <si>
    <t>B02147</t>
  </si>
  <si>
    <t>Biology - Research Materials Sales</t>
  </si>
  <si>
    <t>B02159</t>
  </si>
  <si>
    <t>Biology - Robbins Special Projects</t>
  </si>
  <si>
    <t>B02597</t>
  </si>
  <si>
    <t>BIO - Legionella Testing</t>
  </si>
  <si>
    <t>B02413</t>
  </si>
  <si>
    <t>BSFS</t>
  </si>
  <si>
    <t>B02144</t>
  </si>
  <si>
    <t>B02315</t>
  </si>
  <si>
    <t>OEWRI - Service Agreements</t>
  </si>
  <si>
    <t>Water Splitting Catalysts by Design: Investigating Transition Metal Chalcogenides</t>
  </si>
  <si>
    <t>B02016</t>
  </si>
  <si>
    <t>CDR</t>
  </si>
  <si>
    <t>B02545</t>
  </si>
  <si>
    <t>Writing Project Program Income</t>
  </si>
  <si>
    <t>P02002</t>
  </si>
  <si>
    <t>ACCESS Workshop &amp; Training</t>
  </si>
  <si>
    <t>ACCESS</t>
  </si>
  <si>
    <t>B02434</t>
  </si>
  <si>
    <t>Cooperative Doctorate Program</t>
  </si>
  <si>
    <t>B02078</t>
  </si>
  <si>
    <t>Counseling Practicum Clinic</t>
  </si>
  <si>
    <t>CPC</t>
  </si>
  <si>
    <t>B02067</t>
  </si>
  <si>
    <t>MO Preschool Program Income</t>
  </si>
  <si>
    <t>MPP</t>
  </si>
  <si>
    <t>B02548</t>
  </si>
  <si>
    <t>SWRPDC Projects Income</t>
  </si>
  <si>
    <t>B02066</t>
  </si>
  <si>
    <t>Child Development Center</t>
  </si>
  <si>
    <t>CDC</t>
  </si>
  <si>
    <t xml:space="preserve">COE </t>
  </si>
  <si>
    <t>National Route 66 Research Center Planning Grant</t>
  </si>
  <si>
    <t>Institute of Museum &amp; Library Services</t>
  </si>
  <si>
    <t>Seevers, Lindsey</t>
  </si>
  <si>
    <t>B02166</t>
  </si>
  <si>
    <t>Fruit Science Workshops</t>
  </si>
  <si>
    <t>B02385</t>
  </si>
  <si>
    <t>Agriculture Other Income</t>
  </si>
  <si>
    <t>B02187</t>
  </si>
  <si>
    <t>Missouri Campus Compact</t>
  </si>
  <si>
    <t>MCC</t>
  </si>
  <si>
    <t>B02581</t>
  </si>
  <si>
    <t>MVEC-VESTA Program Income</t>
  </si>
  <si>
    <t>B02506</t>
  </si>
  <si>
    <t>OPHI - Consultant Services</t>
  </si>
  <si>
    <t>B02386</t>
  </si>
  <si>
    <t>AHEC - Student Placement</t>
  </si>
  <si>
    <t>AHEC</t>
  </si>
  <si>
    <t>B02529</t>
  </si>
  <si>
    <t>AHEC - Joplin Program Income</t>
  </si>
  <si>
    <t>B02364</t>
  </si>
  <si>
    <t>CASE Service Agreements</t>
  </si>
  <si>
    <t>B02317</t>
  </si>
  <si>
    <t>CBLS - Service Agreements</t>
  </si>
  <si>
    <t>B02446</t>
  </si>
  <si>
    <t>ELI Language &amp; Culture Programs</t>
  </si>
  <si>
    <t>ELI</t>
  </si>
  <si>
    <t>B02447</t>
  </si>
  <si>
    <t>ELI Isesaki Youth Program</t>
  </si>
  <si>
    <t>B02448</t>
  </si>
  <si>
    <t>ELI Undergrad Program</t>
  </si>
  <si>
    <t>B02477</t>
  </si>
  <si>
    <t>ELI Teacher Training Programs</t>
  </si>
  <si>
    <t>B02536</t>
  </si>
  <si>
    <t>ELI English for Specific Purposes Program</t>
  </si>
  <si>
    <t>1st Quarter Lease &amp; Affiliate Fees - JVIC</t>
  </si>
  <si>
    <t>B02040</t>
  </si>
  <si>
    <t>Management Development Institute</t>
  </si>
  <si>
    <t>MDI</t>
  </si>
  <si>
    <t>P02001</t>
  </si>
  <si>
    <t>SBTDC - Other</t>
  </si>
  <si>
    <t>P02005</t>
  </si>
  <si>
    <t>SBTDC Workshops</t>
  </si>
  <si>
    <t>P92006</t>
  </si>
  <si>
    <t>Madden, Bronwen</t>
  </si>
  <si>
    <t>WP SBTDC Program Income</t>
  </si>
  <si>
    <t>Finite point configurations and related problems</t>
  </si>
  <si>
    <t>Sakidja, Ridwan</t>
  </si>
  <si>
    <t>SusChEM: Collaborative: Electrocatalysis, Modeling and Design of Earth-Abundant and Low-Dimensional Pyrite-Type Disulphide Nanostructures</t>
  </si>
  <si>
    <t>Collaborative Research: Strategies for Learning Augmented Reality &amp; Collaborative Problem Solving for Building Sciences</t>
  </si>
  <si>
    <t>CPRIME</t>
  </si>
  <si>
    <t>Wheeler, Benjamin</t>
  </si>
  <si>
    <t>Grand Gulf State Park Research</t>
  </si>
  <si>
    <t>LAD Foundation</t>
  </si>
  <si>
    <t>Miao, Xin</t>
  </si>
  <si>
    <t>Collaborative Research: Developing On-Demand Service Module for Mining Geophysical Properties of Sea Ice from High Spatial Resolution Imagery</t>
  </si>
  <si>
    <t>Wait, Alexander</t>
  </si>
  <si>
    <t>Effects of Manufactured Nanomaterials on Plant Growth and Development</t>
  </si>
  <si>
    <t>Missouri Assistive Technology</t>
  </si>
  <si>
    <t>Pszczolkowski, Maciej</t>
  </si>
  <si>
    <t>Optimizing Monitoring System and Killing Station for Spotted Wing Drosophila</t>
  </si>
  <si>
    <t>Collaborative Research: NANOGEOCOMPOSITE MATERIALS: Characterization and Nano-Bio Interaction</t>
  </si>
  <si>
    <t>Ekstam, Keith</t>
  </si>
  <si>
    <t>A&amp;D</t>
  </si>
  <si>
    <t>RUI: SusChEM: Increased and sustainable biomanufacturing of value-added products by genetic and metabolic engineering of acetic acid bacteria</t>
  </si>
  <si>
    <t>Collaborative Research: Patterned Growth of Photovoltaic Nanotube and Nanohole Arrays for High Efficiency Solar Cells</t>
  </si>
  <si>
    <t>Point configurations and related problems</t>
  </si>
  <si>
    <t>National Security Agency</t>
  </si>
  <si>
    <t>Termoplastic Matrix Composite Fabrication Process for Complex Geometries</t>
  </si>
  <si>
    <t>Triton Systems, Inc.</t>
  </si>
  <si>
    <t>Liner Nozzle/Combustor Process Development</t>
  </si>
  <si>
    <t>Physical Sciences Inc.</t>
  </si>
  <si>
    <t>Redd, Emmett</t>
  </si>
  <si>
    <t>Fixed-Weight Meta-Learning with Big Data</t>
  </si>
  <si>
    <t>Collaborative Research: Transforming Teaching of Structural Analysis through Mobile Augmented Reality</t>
  </si>
  <si>
    <t>Younger, A Steven</t>
  </si>
  <si>
    <t>US Department of Health and Human Services</t>
  </si>
  <si>
    <t>CEFS</t>
  </si>
  <si>
    <t>Day, Michele</t>
  </si>
  <si>
    <t>Missouri Mentoring Partnership</t>
  </si>
  <si>
    <t>SWK</t>
  </si>
  <si>
    <t>Missouri Department of Social Services</t>
  </si>
  <si>
    <t>Missouri Department of Health and Senior Services</t>
  </si>
  <si>
    <t>Baldwin, Julie</t>
  </si>
  <si>
    <t>CRIM</t>
  </si>
  <si>
    <t>Federal Emergency Management Agency</t>
  </si>
  <si>
    <t>State Emergency Management Agency</t>
  </si>
  <si>
    <t>B02505</t>
  </si>
  <si>
    <t>Bodenhausen, Bradley</t>
  </si>
  <si>
    <t>Henan University of Economics and Law - Accounting Faculty Training Program</t>
  </si>
  <si>
    <t>ILTC</t>
  </si>
  <si>
    <t>Henan University of Economics and Law</t>
  </si>
  <si>
    <t>Practical Innovation and Entrepreneurship</t>
  </si>
  <si>
    <t>South China University of Technology</t>
  </si>
  <si>
    <t>Customized Biotechnology Training Program</t>
  </si>
  <si>
    <t>Qingdao University, P.R.C.</t>
  </si>
  <si>
    <t>B2505</t>
  </si>
  <si>
    <t>Hainan University</t>
  </si>
  <si>
    <t>Center for Community Engagement</t>
  </si>
  <si>
    <t>Abidogun, Jamaine</t>
  </si>
  <si>
    <t>Missouri: Show-Me State LSAMP Pre-Alliance Program</t>
  </si>
  <si>
    <t>HIS</t>
  </si>
  <si>
    <t>Malega, Ronald</t>
  </si>
  <si>
    <t>RUI: Multi-Scale Investigation of Ferroelectric Domain Dynamics in Pb-Free Ferroelectrics and Multiferroics</t>
  </si>
  <si>
    <t>Bosch, Eric</t>
  </si>
  <si>
    <t>Collaborative Research: RUI: Manipulation of Arylene Ethynylene Structures and Properties via Coordination, Halogen Bonding and C-H Hydrogen Bonding</t>
  </si>
  <si>
    <t>Mayanovic, Robert</t>
  </si>
  <si>
    <t>Collaborative Research: Investigations of Hydrous Network Glasses and Melts to High P-T Conditions Using a Multimodal Characterization and Modeling Approach</t>
  </si>
  <si>
    <t>Kaps, Martin</t>
  </si>
  <si>
    <t>Using Diverse Plant Species in Fruit Crop Plantings: An Approach in Research and Education</t>
  </si>
  <si>
    <t>Berkwitz, Stephen</t>
  </si>
  <si>
    <t>Teaching Religious Studies to Undergraduate Students in Health-Related Fields</t>
  </si>
  <si>
    <t>REL</t>
  </si>
  <si>
    <t>Wabash Center for Teaching &amp; Learning</t>
  </si>
  <si>
    <t>Schmalzbauer, John</t>
  </si>
  <si>
    <t>Romano, David</t>
  </si>
  <si>
    <t>Who Does Not Become a Terrorist, and Why? Towards an Empirically Grounded Understanding of Individual Motivation in Terrorism</t>
  </si>
  <si>
    <t>NAVSUP Fleet Logistics Center San Diego</t>
  </si>
  <si>
    <t>University Court of the University of St Andrews</t>
  </si>
  <si>
    <t xml:space="preserve">The protein efficiency digetibility of different protein sources: study 3 </t>
  </si>
  <si>
    <t>International Dehydrated Foods</t>
  </si>
  <si>
    <t>Investigation of Cellular Changes in Response to Vagal Nerve Stimulation (Task Agreement 02)</t>
  </si>
  <si>
    <t>Young-Jones, Adena</t>
  </si>
  <si>
    <t>Experienceing alternative perspectives in the classroom: Performing common academic tasks</t>
  </si>
  <si>
    <t>Society for the Teaching of Psychology</t>
  </si>
  <si>
    <t>Albaugh, Rickey</t>
  </si>
  <si>
    <t>Nurse Anesthetist Traineeship NAT Programs</t>
  </si>
  <si>
    <t>Beckham, Tracy</t>
  </si>
  <si>
    <t>Feeney, Monika</t>
  </si>
  <si>
    <t>Poston, Tracey</t>
  </si>
  <si>
    <t>Kim, Kyoungtae</t>
  </si>
  <si>
    <t>RUI: Molecular links between yeast dynamin-like protein Vps1 and membrane trafficking</t>
  </si>
  <si>
    <t>Evans, Kevin</t>
  </si>
  <si>
    <t>Geologic Map of the Noel, Missouri 7.5-Minute Quadrangle, McDonald County, MO</t>
  </si>
  <si>
    <t>The Midwest Center of NCPN-Grapes</t>
  </si>
  <si>
    <t>Propagation and Augmentation of the Ouachita Rock Pocketbook</t>
  </si>
  <si>
    <t>US Fish &amp; Wildlife Service</t>
  </si>
  <si>
    <t>Oklahoma Department of Wildlife Conservation</t>
  </si>
  <si>
    <t>Ostensen, Roy</t>
  </si>
  <si>
    <t>RUI: Asteroseismology of subdwarf B stars as representative of high-temperature physics and horizontal branch stellar cores</t>
  </si>
  <si>
    <t>Super Turing Computation and Robust Intelligence</t>
  </si>
  <si>
    <t>Rongali, Sharath</t>
  </si>
  <si>
    <t>Initiating Undergraduate Research in a Two-Year College</t>
  </si>
  <si>
    <t>Rugutt, Joseph</t>
  </si>
  <si>
    <t>Knight, Rachel</t>
  </si>
  <si>
    <t>Corporation for Public Broadcasting - Radio</t>
  </si>
  <si>
    <t>BRD SVC</t>
  </si>
  <si>
    <t>Corporation for Public Broadcasting</t>
  </si>
  <si>
    <t>Corporation for Public Broadcasting - TV</t>
  </si>
  <si>
    <t>Preventing Fire Fatalities</t>
  </si>
  <si>
    <t>CCE</t>
  </si>
  <si>
    <t>Community Foundation of the Ozarks</t>
  </si>
  <si>
    <t>Nordyke, Kathy</t>
  </si>
  <si>
    <t>IBSS-S: Advaning Risk and Vulnerability Assessment for Sinkhole Hazard</t>
  </si>
  <si>
    <t>Qiu, Xiaomin</t>
  </si>
  <si>
    <t>Wu, Shuo-sheng</t>
  </si>
  <si>
    <t>Roberts, Hillary</t>
  </si>
  <si>
    <t>Community Impact Grant: Farmer's Market</t>
  </si>
  <si>
    <t>Missouri Academy of Nutrition and Dietetics</t>
  </si>
  <si>
    <t>Community Impact Grant: Food Preservation</t>
  </si>
  <si>
    <t>Missouri Mentoring Partnership - Collective Impact Grant</t>
  </si>
  <si>
    <t>Great Circle</t>
  </si>
  <si>
    <t>Patterson, Jill</t>
  </si>
  <si>
    <t>Implementation of Green Dot Violence Prevention Strategy</t>
  </si>
  <si>
    <t>PRES</t>
  </si>
  <si>
    <t>Center for Disease Control and Prevention</t>
  </si>
  <si>
    <t>Project WET Service</t>
  </si>
  <si>
    <t>Project WET Foundation</t>
  </si>
  <si>
    <t>MRI Development: Searching for Exoplanets around the coolest, youngest stars with near-IR Precision Radial Velocity Observations</t>
  </si>
  <si>
    <t>Keck Observatory</t>
  </si>
  <si>
    <t>Lupfer, Christopher</t>
  </si>
  <si>
    <t>Inflammasome Induced Hyperinflammation During Coinfection</t>
  </si>
  <si>
    <t>American Lung Association</t>
  </si>
  <si>
    <t>Sullivan, Patrick</t>
  </si>
  <si>
    <t>Getting it WRITE in Mathematics</t>
  </si>
  <si>
    <t>2nd Quarter Lease &amp; Affiliate Fees - JVIC</t>
  </si>
  <si>
    <t>Chen, Li-Ling</t>
  </si>
  <si>
    <t>Continuous Evaluation of Seven new Grape Varieties from the Cross of Norton and Cabernet Sauvignon</t>
  </si>
  <si>
    <t>Bernd Group</t>
  </si>
  <si>
    <t>Evaluating the Effectiveness of Freshwater Mussel Mitigation Strategies</t>
  </si>
  <si>
    <t>Texas Department of Transportation</t>
  </si>
  <si>
    <t>Texas State University</t>
  </si>
  <si>
    <t>Funding Development Initiative</t>
  </si>
  <si>
    <t>Rural Community College Alliance</t>
  </si>
  <si>
    <t>Camp, Susan</t>
  </si>
  <si>
    <t>The Season 2015-2016</t>
  </si>
  <si>
    <t>JKHH</t>
  </si>
  <si>
    <t>Missouri Arts Council</t>
  </si>
  <si>
    <t>Boaz, Keith</t>
  </si>
  <si>
    <t>Udan, Ryan</t>
  </si>
  <si>
    <t>Grant-in-aid: Investigating the role of hemodynamic force in regulating tunica media thickness</t>
  </si>
  <si>
    <t>American Heart Association</t>
  </si>
  <si>
    <t>Scientist Development: Investigating the role of hemodynamic force in regulating tunica media thickness</t>
  </si>
  <si>
    <t>MRI: RUI: Acquisition of a SPM for Research and Education in Materials Science</t>
  </si>
  <si>
    <t>Mitra, Saibal</t>
  </si>
  <si>
    <t>Schick, Alan</t>
  </si>
  <si>
    <t>Sedaghat-Herati, Reza</t>
  </si>
  <si>
    <t>Biswas, Mahua</t>
  </si>
  <si>
    <t>RUI: Stable Isotope (δ18O and D/H) and U-Pb Geochronology Studies of Continental Arc Magmatism: Magma Accumulation in the Mogollon-Datil Volcanic Field, Southern New Mexico</t>
  </si>
  <si>
    <t>Barry County Hazard Mitigation Plan 2016</t>
  </si>
  <si>
    <t>MRI: RUI: Acquisition of a High Mass Resolution Inductively Coupled Plasma Mass Spectrometer at Missouri State University</t>
  </si>
  <si>
    <t>Gutierrez, Melida</t>
  </si>
  <si>
    <t>McKay, Matthew</t>
  </si>
  <si>
    <t>Investigation Mechanism of Action Novel Anti-Epileptic Compounds Hippocam</t>
  </si>
  <si>
    <t>Tansna Therapeutics</t>
  </si>
  <si>
    <t>Novel Propofol-based Anti-convulsants for refractory epilepsy</t>
  </si>
  <si>
    <t>DMREF Collaborative Research: Modeling, Synthesis and Characterization of Highly Ordered Mesoporous Materials to Extreme Conditions</t>
  </si>
  <si>
    <t>DMREF Collaborative Research: Modeling, Synthesis and Characterization of Highly Ordered Mesoporous Materials Under Extreme Conditions</t>
  </si>
  <si>
    <t>OPT-State Miscellaneous Income - Radio</t>
  </si>
  <si>
    <t>Missouri Public Broadcasting Corporation</t>
  </si>
  <si>
    <t>OPT-State Miscellaneous Income - TV</t>
  </si>
  <si>
    <t>Alternative Opportunities, Inc.</t>
  </si>
  <si>
    <t>Ozarks Writing Project 2016 NWP Advanced Institute to Scale Up.</t>
  </si>
  <si>
    <t>Payne, Heather</t>
  </si>
  <si>
    <t>Walmart Community Grant</t>
  </si>
  <si>
    <t>Walmart Foundation</t>
  </si>
  <si>
    <t>Federal AHEC Agreement</t>
  </si>
  <si>
    <t>A.T. Still University</t>
  </si>
  <si>
    <t>Mawhiney, Shannon</t>
  </si>
  <si>
    <t>Picturing a Woman's Place: The OW Carter and Mary Garrison St John Collections</t>
  </si>
  <si>
    <t>Missouri State Library</t>
  </si>
  <si>
    <t>ATTENTION! Student Recognition and short-term Retention of Organic Chemistry Structures</t>
  </si>
  <si>
    <t>Spencer Educational Foundation, Inc.</t>
  </si>
  <si>
    <t>China EMBA Cohort 29</t>
  </si>
  <si>
    <t>China EMBA Cohort 30</t>
  </si>
  <si>
    <t>Berg, Susan</t>
  </si>
  <si>
    <t>Advanced Education Nursing Traineeship at MSU</t>
  </si>
  <si>
    <t>NUR</t>
  </si>
  <si>
    <t>Health Resources and Services Administration</t>
  </si>
  <si>
    <t>Fair Grove Senior Center Grant Writing</t>
  </si>
  <si>
    <t>Fair Grove Senior Center</t>
  </si>
  <si>
    <t>Knowles, Amy</t>
  </si>
  <si>
    <t>Ozarks Writing Project Invitational Institute</t>
  </si>
  <si>
    <t>Pathways to Leadership for Missouri Writing Project Network</t>
  </si>
  <si>
    <t>Pathways to Leadership for Ozarks Writing Project</t>
  </si>
  <si>
    <t>Bill and Melinda Gates Foundation</t>
  </si>
  <si>
    <t>Hellman, Andrea</t>
  </si>
  <si>
    <t>iELT-Ozarks Project</t>
  </si>
  <si>
    <t>AACI Medicated Prevention Gut Dysbiosis Caused by Broad Spectrum AntiBiotic</t>
  </si>
  <si>
    <t xml:space="preserve">International Dehydrated Foods, Inc. </t>
  </si>
  <si>
    <t>The Effects of two Insoluble Protein Broth on Gut Microbiome</t>
  </si>
  <si>
    <t>Hough, Lyon</t>
  </si>
  <si>
    <t>Effects of Development Hyperserotonemia on Cerebellar Development and Function</t>
  </si>
  <si>
    <t>Convergence of signaling pathways enhances IL-1 beta production in coinfections</t>
  </si>
  <si>
    <t>Investigating the role of hemodynamic force in regulating tunica media thickness of blood vessels</t>
  </si>
  <si>
    <t>Exploratory Analysis of Telepresent Augmented Reality Simulation for Traffic Impact Assessment</t>
  </si>
  <si>
    <t>National Cooperative Highway Research Program</t>
  </si>
  <si>
    <t>Iowa State University</t>
  </si>
  <si>
    <t>Diplomatic Truce After DPP Returns to Power</t>
  </si>
  <si>
    <t>Taiwan Foundation for Democracy</t>
  </si>
  <si>
    <t>Tivener, Kristin</t>
  </si>
  <si>
    <t>The Effect of Simulation on AT Sudents' Perceived Self-Efficacy</t>
  </si>
  <si>
    <t>Mid-America Athletic Trainers' Association</t>
  </si>
  <si>
    <t>Blansit, Amy</t>
  </si>
  <si>
    <t>Northwest Project</t>
  </si>
  <si>
    <t>Fichter, Kathryn</t>
  </si>
  <si>
    <t>Glycosylated nanocrystal vectors, with informed design, for targeted delivery to the nucleus</t>
  </si>
  <si>
    <t>02086</t>
  </si>
  <si>
    <t>Missouri Department of Conservation</t>
  </si>
  <si>
    <t>Flared Duct Component Phase I &amp; II</t>
  </si>
  <si>
    <t>APA Missouri Administration</t>
  </si>
  <si>
    <t>American Planning Association of Missouri</t>
  </si>
  <si>
    <t>Multi-scale Data Mining &amp; Modeling of Long-Term Creep Behavior in High-CR Steels</t>
  </si>
  <si>
    <t>US Department of Energy</t>
  </si>
  <si>
    <t>Synergistic Neurological &amp; Cellular Effects on Poly Drug Use &amp; Sleep Deprivation</t>
  </si>
  <si>
    <t>Dynamic DNA Laboratories</t>
  </si>
  <si>
    <t>16 - 17 Migrant Summer School</t>
  </si>
  <si>
    <t>Region D FY16 Homeland Security Grant Program</t>
  </si>
  <si>
    <t>Southwest Missouri Council of Governments FY16 Homeland Security Work Program</t>
  </si>
  <si>
    <t>Maher, Sean</t>
  </si>
  <si>
    <t>Analysis and Partner Engagement to Prioritize Meadow Restoration and Manage Climate</t>
  </si>
  <si>
    <t>California Landscape Conservation Cooperative</t>
  </si>
  <si>
    <t>B02115</t>
  </si>
  <si>
    <t>Midwest Sports Medicine Center</t>
  </si>
  <si>
    <t>MSMC</t>
  </si>
  <si>
    <t>B02156</t>
  </si>
  <si>
    <t>AGRI - Equine Judging Workshop</t>
  </si>
  <si>
    <t>B02361</t>
  </si>
  <si>
    <t>MFAA</t>
  </si>
  <si>
    <t>Franks, Claudia</t>
  </si>
  <si>
    <t>Anti-metastatic RNA Nanomedicine Against Malignant Melanoma</t>
  </si>
  <si>
    <t>National Institute of Health</t>
  </si>
  <si>
    <t>Baseline Inventory of Glade Natural Communities on Missouri Department of Conservation Lands</t>
  </si>
  <si>
    <t>Store Tour Training Program with Missouri State and Pyramid Foods</t>
  </si>
  <si>
    <t>Produce for Better Health Foundation</t>
  </si>
  <si>
    <t>Goodwin, David</t>
  </si>
  <si>
    <t>RFT</t>
  </si>
  <si>
    <t>MO MEP Project</t>
  </si>
  <si>
    <t>National Institute of Standards and Technology</t>
  </si>
  <si>
    <t>Totty, Angela</t>
  </si>
  <si>
    <t>West Plains EOC Project</t>
  </si>
  <si>
    <t>Lancaster, Sarah</t>
  </si>
  <si>
    <t>Managing Nutrient Inputs to Enhance the Sustainability of Forage-Based Beef Systems</t>
  </si>
  <si>
    <t>McClain, William</t>
  </si>
  <si>
    <t>Lancaster, Phillip</t>
  </si>
  <si>
    <t>Busdieker-Jesse, Nichole</t>
  </si>
  <si>
    <t>Capacity Building for Education and Research on Global Food System</t>
  </si>
  <si>
    <t>An Institutional and Interdisciplinary Partnership to Enhance Research and Education Capacities in Beef Production</t>
  </si>
  <si>
    <t>Alsup-Egbers, Clydette</t>
  </si>
  <si>
    <t>Investigating the Optimum Planting Date for Garlic in Southwest Missouri</t>
  </si>
  <si>
    <t>Black Walnut Interspecific Hybrid Identification Using Microsatellite Markers</t>
  </si>
  <si>
    <t>MSU EYECare Vision &amp; Color Blindness Screening Program</t>
  </si>
  <si>
    <t>Reiman Foundation, Inc.</t>
  </si>
  <si>
    <t>Hamilton, Timmarie</t>
  </si>
  <si>
    <t>MDHE Default Prevention Grant Proposal</t>
  </si>
  <si>
    <t>The Additional Invesetigation fo the Effects of Chicken Broth on Metabolic Syndrome</t>
  </si>
  <si>
    <t>MDHE Default Prevention</t>
  </si>
  <si>
    <t>Water Education Programs in Greene County (WET)</t>
  </si>
  <si>
    <t>City of Springfield and Green County</t>
  </si>
  <si>
    <t>FAST (Federal and State Technology Partnership Program)</t>
  </si>
  <si>
    <t>Abstinence Education Program (AEP) Missouri State University School of Social Work</t>
  </si>
  <si>
    <t>Baker, Anne</t>
  </si>
  <si>
    <t>Neighbors and Newcomers: Capturing the Immigrant Experience in an Ozarks Community</t>
  </si>
  <si>
    <t>National Endowment for the Humanities</t>
  </si>
  <si>
    <t>City of Springfield Byrne Criminal Justice Innovation Initiative</t>
  </si>
  <si>
    <t>US Department of Justice</t>
  </si>
  <si>
    <t>Amidon, Ethan</t>
  </si>
  <si>
    <t>Mussel Surveying and Assessment at Ft. Leonard</t>
  </si>
  <si>
    <t>Howerton, Phillip</t>
  </si>
  <si>
    <t>Ozarks Studies Symposium</t>
  </si>
  <si>
    <t>Missouri Humanities Council</t>
  </si>
  <si>
    <t>Collaborative Research: Multi-Parameter Geophysical Constraings on Volcano Dynamics of Mt. Erebus and Ross Island, Antarctica</t>
  </si>
  <si>
    <t>Project Access</t>
  </si>
  <si>
    <t>Cooperative EdD Program - FY16 Professional Development Funds</t>
  </si>
  <si>
    <t>Graduate Assistant / Internship Funding - Evangel</t>
  </si>
  <si>
    <t>Uribe-Zarain, Ximena</t>
  </si>
  <si>
    <t>Green County Triple P, Level 1 Evaluation 2016</t>
  </si>
  <si>
    <t>Missouri Foundation for Health</t>
  </si>
  <si>
    <t>Community Partnership of the Ozarks</t>
  </si>
  <si>
    <t>Springfield Farm to School Evaluation 2016</t>
  </si>
  <si>
    <t>Springfield Public Schools</t>
  </si>
  <si>
    <t xml:space="preserve">Precise Radial Velocities in the Near-Infrared </t>
  </si>
  <si>
    <t>Thompson, Kip</t>
  </si>
  <si>
    <t>Mosquito Surveillance to Assess Risk of Zika and Other Aedes Species</t>
  </si>
  <si>
    <t xml:space="preserve">Large Wood Structure Monitoring </t>
  </si>
  <si>
    <t>DESE Scholarship Grant for EDH</t>
  </si>
  <si>
    <t>Zordell, Marina</t>
  </si>
  <si>
    <t>Gateway Geriatric Education Center Geriatrics Workforce Enhancement Program</t>
  </si>
  <si>
    <t>Cooperative EdD Program - FY16 Summer Teaching</t>
  </si>
  <si>
    <t>Anti-Cancer RNA Nanoconjugates</t>
  </si>
  <si>
    <t>Novik, Melinda</t>
  </si>
  <si>
    <t>Social Media Intervention into College Students Alcohol Use</t>
  </si>
  <si>
    <t>Deaf/HH On-line Community of Practice Year 8</t>
  </si>
  <si>
    <t>Collaborative Research: NSF INCLUDES: Southeastern Compact for Inclusive Student Transitions in Engineering and Physical Sciences (SCI-STEPS).</t>
  </si>
  <si>
    <t>B Account Income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</si>
</sst>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6" formatCode="_(&quot;$&quot;* #,##0_);_(&quot;$&quot;* \(#,##0\);_(&quot;$&quot;* &quot;-&quot;??_);_(@_)"/>
    <numFmt numFmtId="171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libri Light"/>
      <family val="1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6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0">
    <xf numFmtId="0" fontId="0" fillId="0" borderId="0" xfId="0"/>
    <xf numFmtId="49" fontId="2" fillId="4" borderId="0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6" fillId="5" borderId="0" xfId="0" applyNumberFormat="1" applyFont="1" applyFill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" fontId="6" fillId="5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horizontal="right" vertical="center"/>
    </xf>
    <xf numFmtId="166" fontId="6" fillId="5" borderId="0" xfId="1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166" fontId="3" fillId="2" borderId="0" xfId="1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66" fontId="0" fillId="0" borderId="0" xfId="1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166" fontId="0" fillId="0" borderId="1" xfId="1" applyNumberFormat="1" applyFont="1" applyBorder="1" applyAlignment="1">
      <alignment horizontal="right" vertical="center" wrapText="1"/>
    </xf>
    <xf numFmtId="166" fontId="0" fillId="0" borderId="1" xfId="1" applyNumberFormat="1" applyFont="1" applyBorder="1" applyAlignment="1">
      <alignment horizontal="center" vertical="center"/>
    </xf>
    <xf numFmtId="42" fontId="0" fillId="0" borderId="1" xfId="0" applyNumberFormat="1" applyBorder="1" applyAlignment="1">
      <alignment vertical="center" wrapText="1"/>
    </xf>
    <xf numFmtId="0" fontId="0" fillId="0" borderId="1" xfId="1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49" fontId="5" fillId="4" borderId="0" xfId="0" applyNumberFormat="1" applyFont="1" applyFill="1" applyBorder="1" applyAlignment="1">
      <alignment horizontal="center" vertical="center"/>
    </xf>
  </cellXfs>
  <cellStyles count="3">
    <cellStyle name="Comma 90" xfId="2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9AB98"/>
      <color rgb="FFFFEEBB"/>
      <color rgb="FF5E0009"/>
      <color rgb="FFFFC55D"/>
      <color rgb="FFCA8F27"/>
      <color rgb="FFA65D1D"/>
      <color rgb="FFC5D7B3"/>
      <color rgb="FF99B979"/>
      <color rgb="FF96BD6F"/>
      <color rgb="FF739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6%20Data\F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Documents\Work\F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Users\Marina\AppData\Local\Temp\Month%20End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Alsup-Egbers, Clydette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Amidon, Ethan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Anderson, Rayanna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Arthaud, Tamara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Baker, Anne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Baldwin, Julie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Barnhart, M Chris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Bassham, Donna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Beckham, Tracy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Beckman, Daniel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Behzadan, Amir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Bennett, Drew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Bennett, Evan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Berg, Susan</v>
          </cell>
          <cell r="B22" t="str">
            <v>CEFS</v>
          </cell>
          <cell r="D22" t="str">
            <v>Army Research Office</v>
          </cell>
        </row>
        <row r="23">
          <cell r="A23" t="str">
            <v>Berkwitz, Stephen</v>
          </cell>
          <cell r="B23" t="str">
            <v>CGB</v>
          </cell>
          <cell r="D23" t="str">
            <v>Arnold P. Gold Foundation</v>
          </cell>
        </row>
        <row r="24">
          <cell r="A24" t="str">
            <v>Berquist, Charlene</v>
          </cell>
          <cell r="B24" t="str">
            <v>CHEM</v>
          </cell>
          <cell r="D24" t="str">
            <v>Arthritis Foundation</v>
          </cell>
        </row>
        <row r="25">
          <cell r="A25" t="str">
            <v>Bhattacharyya, Gautam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Biswas, Mahua</v>
          </cell>
          <cell r="B26" t="str">
            <v>CHPA</v>
          </cell>
          <cell r="D26" t="str">
            <v>AT Still University</v>
          </cell>
        </row>
        <row r="27">
          <cell r="A27" t="str">
            <v>Black, Alice</v>
          </cell>
          <cell r="B27" t="str">
            <v>CLSE</v>
          </cell>
          <cell r="D27" t="str">
            <v>BAE Systems</v>
          </cell>
        </row>
        <row r="28">
          <cell r="A28" t="str">
            <v>Blackwood, Randall</v>
          </cell>
          <cell r="B28" t="str">
            <v>CNAS</v>
          </cell>
          <cell r="D28" t="str">
            <v>Bass Pro Shops</v>
          </cell>
        </row>
        <row r="29">
          <cell r="A29" t="str">
            <v>Blansit, Amy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Boaz, Keith</v>
          </cell>
          <cell r="B30" t="str">
            <v>COB</v>
          </cell>
          <cell r="D30" t="str">
            <v>Benton and Associates</v>
          </cell>
        </row>
        <row r="31">
          <cell r="A31" t="str">
            <v>Bodenhausen, Bradley</v>
          </cell>
          <cell r="B31" t="str">
            <v>COE</v>
          </cell>
          <cell r="D31" t="str">
            <v>Bernd Group</v>
          </cell>
        </row>
        <row r="32">
          <cell r="A32" t="str">
            <v>Bosch, Eric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Bowles, Elizabeth</v>
          </cell>
          <cell r="B33" t="str">
            <v>CPRIME</v>
          </cell>
          <cell r="D33" t="str">
            <v>Black Tie</v>
          </cell>
        </row>
        <row r="34">
          <cell r="A34" t="str">
            <v>Boys, Cathy P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Branton, Michelle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Bray, William</v>
          </cell>
          <cell r="B36" t="str">
            <v>CRS</v>
          </cell>
          <cell r="D36" t="str">
            <v>Brewer Science Inc.</v>
          </cell>
        </row>
        <row r="37">
          <cell r="A37" t="str">
            <v>Breault, Rick</v>
          </cell>
          <cell r="B37" t="str">
            <v>CS</v>
          </cell>
          <cell r="D37" t="str">
            <v>Bureau of Justice Assistance</v>
          </cell>
        </row>
        <row r="38">
          <cell r="A38" t="str">
            <v>Brodeur, Amanda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Buchanan, Erin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Burton, Michael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Busdieker-Jesse, Nichole</v>
          </cell>
          <cell r="B41" t="str">
            <v>DEV</v>
          </cell>
          <cell r="D41" t="str">
            <v>Camdenton R-III Schools</v>
          </cell>
        </row>
        <row r="42">
          <cell r="A42" t="str">
            <v>Calfano, Brian</v>
          </cell>
          <cell r="B42" t="str">
            <v>DI</v>
          </cell>
          <cell r="D42" t="str">
            <v>Capnia, Inc.</v>
          </cell>
        </row>
        <row r="43">
          <cell r="A43" t="str">
            <v>Camp, Susan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Canales, Roberto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Capps, Steven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Carr, WD</v>
          </cell>
          <cell r="B46" t="str">
            <v>ENG</v>
          </cell>
          <cell r="D46" t="str">
            <v>CFD Research Corporation</v>
          </cell>
        </row>
        <row r="47">
          <cell r="A47" t="str">
            <v>Castrey, Raymond</v>
          </cell>
          <cell r="B47" t="str">
            <v>FA</v>
          </cell>
          <cell r="D47" t="str">
            <v>CFS Engineers</v>
          </cell>
        </row>
        <row r="48">
          <cell r="A48" t="str">
            <v>Cemore Brigden, Joanna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Chen, Li-Ling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Cheng, Yungchen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Claborn, David</v>
          </cell>
          <cell r="B51" t="str">
            <v>HHPA</v>
          </cell>
          <cell r="D51" t="str">
            <v>Christian County</v>
          </cell>
        </row>
        <row r="52">
          <cell r="A52" t="str">
            <v>Cleveland, Tracy</v>
          </cell>
          <cell r="B52" t="str">
            <v>HIS</v>
          </cell>
          <cell r="D52" t="str">
            <v>City of Ash Grove</v>
          </cell>
        </row>
        <row r="53">
          <cell r="A53" t="str">
            <v>Cooper, Mark</v>
          </cell>
          <cell r="B53" t="str">
            <v>HRA</v>
          </cell>
          <cell r="D53" t="str">
            <v>City of Battlefield</v>
          </cell>
        </row>
        <row r="54">
          <cell r="A54" t="str">
            <v>Cornelison, David</v>
          </cell>
          <cell r="B54" t="str">
            <v>ILTC</v>
          </cell>
          <cell r="D54" t="str">
            <v>City of Hollister</v>
          </cell>
        </row>
        <row r="55">
          <cell r="A55" t="str">
            <v>Cox, Erica</v>
          </cell>
          <cell r="B55" t="str">
            <v>IPT</v>
          </cell>
          <cell r="D55" t="str">
            <v>City of Kimberling City</v>
          </cell>
        </row>
        <row r="56">
          <cell r="A56" t="str">
            <v>Craig, Christopher</v>
          </cell>
          <cell r="B56" t="str">
            <v>JKHH</v>
          </cell>
          <cell r="D56" t="str">
            <v>City of Marshfield</v>
          </cell>
        </row>
        <row r="57">
          <cell r="A57" t="str">
            <v>Cunningham, Denise</v>
          </cell>
          <cell r="B57" t="str">
            <v>JVIC</v>
          </cell>
          <cell r="D57" t="str">
            <v>City of Nixa</v>
          </cell>
        </row>
        <row r="58">
          <cell r="A58" t="str">
            <v>Curry, Matthew</v>
          </cell>
          <cell r="B58" t="str">
            <v>KIN</v>
          </cell>
          <cell r="D58" t="str">
            <v>City of Ozark</v>
          </cell>
        </row>
        <row r="59">
          <cell r="A59" t="str">
            <v>Cutbirth, Suzanne</v>
          </cell>
          <cell r="B59" t="str">
            <v>LIB</v>
          </cell>
          <cell r="D59" t="str">
            <v>City of Pierce City</v>
          </cell>
        </row>
        <row r="60">
          <cell r="A60" t="str">
            <v>Daniel, Todd</v>
          </cell>
          <cell r="B60" t="str">
            <v>MATH</v>
          </cell>
          <cell r="D60" t="str">
            <v>City of Republic</v>
          </cell>
        </row>
        <row r="61">
          <cell r="A61" t="str">
            <v>Davis, Belinda</v>
          </cell>
          <cell r="B61" t="str">
            <v>MCL</v>
          </cell>
          <cell r="D61" t="str">
            <v>City of Springfield</v>
          </cell>
        </row>
        <row r="62">
          <cell r="A62" t="str">
            <v>Day, Michele</v>
          </cell>
          <cell r="B62" t="str">
            <v>MDI</v>
          </cell>
          <cell r="D62" t="str">
            <v>City of Springfield and Green County</v>
          </cell>
        </row>
        <row r="63">
          <cell r="A63" t="str">
            <v>Delong, Robert</v>
          </cell>
          <cell r="B63" t="str">
            <v>MPH</v>
          </cell>
          <cell r="D63" t="str">
            <v>City of Springfield Public Health Department</v>
          </cell>
        </row>
        <row r="64">
          <cell r="A64" t="str">
            <v>DeWitt, Thomas</v>
          </cell>
          <cell r="B64" t="str">
            <v>MPP</v>
          </cell>
          <cell r="D64" t="str">
            <v>City of Strafford</v>
          </cell>
        </row>
        <row r="65">
          <cell r="A65" t="str">
            <v>Dey, Sonal</v>
          </cell>
          <cell r="B65" t="str">
            <v>MVEC</v>
          </cell>
          <cell r="D65" t="str">
            <v>City Utilities SPGF</v>
          </cell>
        </row>
        <row r="66">
          <cell r="A66" t="str">
            <v>Dodge, Steven</v>
          </cell>
          <cell r="B66" t="str">
            <v>NUR</v>
          </cell>
          <cell r="D66" t="str">
            <v>CoLucid Pharmaceuticals</v>
          </cell>
        </row>
        <row r="67">
          <cell r="A67" t="str">
            <v>Dollar, Susan</v>
          </cell>
          <cell r="B67" t="str">
            <v>OEWRI</v>
          </cell>
          <cell r="D67" t="str">
            <v>Columbia Public School District</v>
          </cell>
        </row>
        <row r="68">
          <cell r="A68" t="str">
            <v>Duitsman, Dalen</v>
          </cell>
          <cell r="B68" t="str">
            <v>OPHI</v>
          </cell>
          <cell r="D68" t="str">
            <v>Community Foundation of the Ozarks</v>
          </cell>
        </row>
        <row r="69">
          <cell r="A69" t="str">
            <v>Durham, Paul</v>
          </cell>
          <cell r="B69" t="str">
            <v>OSI</v>
          </cell>
          <cell r="D69" t="str">
            <v>Community Partnership of the Ozarks</v>
          </cell>
        </row>
        <row r="70">
          <cell r="A70" t="str">
            <v>Echols, Leslie</v>
          </cell>
          <cell r="B70" t="str">
            <v>OUT</v>
          </cell>
          <cell r="D70" t="str">
            <v>Conoco Companies</v>
          </cell>
        </row>
        <row r="71">
          <cell r="A71" t="str">
            <v>Ekstam, Keith</v>
          </cell>
          <cell r="B71" t="str">
            <v>PAMS</v>
          </cell>
          <cell r="D71" t="str">
            <v>Conservation Federation of Missouri</v>
          </cell>
        </row>
        <row r="72">
          <cell r="A72" t="str">
            <v>Elliott, W Anson</v>
          </cell>
          <cell r="B72" t="str">
            <v>PAS</v>
          </cell>
          <cell r="D72" t="str">
            <v>Contracting Center of Excellence</v>
          </cell>
        </row>
        <row r="73">
          <cell r="A73" t="str">
            <v>Engler, Karen</v>
          </cell>
          <cell r="B73" t="str">
            <v>PDC</v>
          </cell>
          <cell r="D73" t="str">
            <v>Cornell University</v>
          </cell>
        </row>
        <row r="74">
          <cell r="A74" t="str">
            <v>English, Catherine</v>
          </cell>
          <cell r="B74" t="str">
            <v>PLS</v>
          </cell>
          <cell r="D74" t="str">
            <v>Corporation for Public Broadcasting</v>
          </cell>
        </row>
        <row r="75">
          <cell r="A75" t="str">
            <v>Evans, Kevin</v>
          </cell>
          <cell r="B75" t="str">
            <v>PRES</v>
          </cell>
          <cell r="D75" t="str">
            <v>Council for International Exchange of Scholars</v>
          </cell>
        </row>
        <row r="76">
          <cell r="A76" t="str">
            <v>Fallone, Melissa</v>
          </cell>
          <cell r="B76" t="str">
            <v>PROV</v>
          </cell>
          <cell r="D76" t="str">
            <v>Council of Churches Child Care Resources and Referral</v>
          </cell>
        </row>
        <row r="77">
          <cell r="A77" t="str">
            <v>Farris, Robin</v>
          </cell>
          <cell r="B77" t="str">
            <v>PSY</v>
          </cell>
          <cell r="D77" t="str">
            <v>Cox Health</v>
          </cell>
        </row>
        <row r="78">
          <cell r="A78" t="str">
            <v>Faucett, David</v>
          </cell>
          <cell r="B78" t="str">
            <v>PT</v>
          </cell>
          <cell r="D78" t="str">
            <v>Creative Polymers Pty.Ltd.</v>
          </cell>
        </row>
        <row r="79">
          <cell r="A79" t="str">
            <v>Feeney, Monika</v>
          </cell>
          <cell r="B79" t="str">
            <v>PTC</v>
          </cell>
          <cell r="D79" t="str">
            <v>Crosslink</v>
          </cell>
        </row>
        <row r="80">
          <cell r="A80" t="str">
            <v>Fichter, Kathryn</v>
          </cell>
          <cell r="B80" t="str">
            <v>REL</v>
          </cell>
          <cell r="D80" t="str">
            <v>Crosstech Construction Products</v>
          </cell>
        </row>
        <row r="81">
          <cell r="A81" t="str">
            <v>Franklin, Keri</v>
          </cell>
          <cell r="B81" t="str">
            <v>RESLIFE</v>
          </cell>
          <cell r="D81" t="str">
            <v>Cultural Resource Analysts</v>
          </cell>
        </row>
        <row r="82">
          <cell r="A82" t="str">
            <v>Franks, Claudia</v>
          </cell>
          <cell r="B82" t="str">
            <v>RFT</v>
          </cell>
          <cell r="D82" t="str">
            <v>Curators for the University of Missouri</v>
          </cell>
        </row>
        <row r="83">
          <cell r="A83" t="str">
            <v>Frederick, Teresa</v>
          </cell>
          <cell r="B83" t="str">
            <v>RSTATS</v>
          </cell>
          <cell r="D83" t="str">
            <v>Dallas County R-1 Schools</v>
          </cell>
        </row>
        <row r="84">
          <cell r="A84" t="str">
            <v>Garland, Brett</v>
          </cell>
          <cell r="B84" t="str">
            <v>S&amp;A</v>
          </cell>
          <cell r="D84" t="str">
            <v>Defense Advanced Research Projects Agency</v>
          </cell>
        </row>
        <row r="85">
          <cell r="A85" t="str">
            <v>Garrad, Richard</v>
          </cell>
          <cell r="B85" t="str">
            <v>SA</v>
          </cell>
          <cell r="D85" t="str">
            <v>Department of the Army</v>
          </cell>
        </row>
        <row r="86">
          <cell r="A86" t="str">
            <v>Ghosh, Kartik</v>
          </cell>
          <cell r="B86" t="str">
            <v>SBTDC</v>
          </cell>
          <cell r="D86" t="str">
            <v>Dollar General Literacy Foundation</v>
          </cell>
        </row>
        <row r="87">
          <cell r="A87" t="str">
            <v>Giboney, Sharon</v>
          </cell>
          <cell r="B87" t="str">
            <v>SLHC</v>
          </cell>
          <cell r="D87" t="str">
            <v>Dr. Scholl Foundation</v>
          </cell>
        </row>
        <row r="88">
          <cell r="A88" t="str">
            <v>Gibson, Emily</v>
          </cell>
          <cell r="B88" t="str">
            <v>SMAT</v>
          </cell>
          <cell r="D88" t="str">
            <v>Dreyfus Foundation, Inc.</v>
          </cell>
        </row>
        <row r="89">
          <cell r="A89" t="str">
            <v>Goddard, Patricia</v>
          </cell>
          <cell r="B89" t="str">
            <v>SWK</v>
          </cell>
          <cell r="D89" t="str">
            <v>Drury University</v>
          </cell>
        </row>
        <row r="90">
          <cell r="A90" t="str">
            <v>Goerndt, Michael</v>
          </cell>
          <cell r="B90" t="str">
            <v>SWRPDC</v>
          </cell>
          <cell r="D90" t="str">
            <v>Dynamic DNA Laboratories</v>
          </cell>
        </row>
        <row r="91">
          <cell r="A91" t="str">
            <v>Goodwin, David</v>
          </cell>
          <cell r="B91" t="str">
            <v>TCM</v>
          </cell>
          <cell r="D91" t="str">
            <v>East Carolina University</v>
          </cell>
        </row>
        <row r="92">
          <cell r="A92" t="str">
            <v>Grbac, Kris</v>
          </cell>
          <cell r="B92" t="str">
            <v>THWC</v>
          </cell>
          <cell r="D92" t="str">
            <v>Ecology and Environment</v>
          </cell>
        </row>
        <row r="93">
          <cell r="A93" t="str">
            <v>Greene, Janice</v>
          </cell>
          <cell r="B93" t="str">
            <v>TRiO</v>
          </cell>
          <cell r="D93" t="str">
            <v>Economic Development Administration</v>
          </cell>
        </row>
        <row r="94">
          <cell r="A94" t="str">
            <v>Gross, Tracy</v>
          </cell>
          <cell r="B94" t="str">
            <v>VPRED</v>
          </cell>
          <cell r="D94" t="str">
            <v>El Dorado Springs R-2 School District</v>
          </cell>
        </row>
        <row r="95">
          <cell r="A95" t="str">
            <v>Guo, Kanghui</v>
          </cell>
          <cell r="B95" t="str">
            <v>WP</v>
          </cell>
          <cell r="D95" t="str">
            <v>electroCore LLC</v>
          </cell>
        </row>
        <row r="96">
          <cell r="A96" t="str">
            <v>Gutierrez, Melida</v>
          </cell>
          <cell r="D96" t="str">
            <v>Evangel University</v>
          </cell>
        </row>
        <row r="97">
          <cell r="A97" t="str">
            <v>Hall, Lisa C</v>
          </cell>
          <cell r="D97" t="str">
            <v>Fair Grove Senior Center</v>
          </cell>
        </row>
        <row r="98">
          <cell r="A98" t="str">
            <v>Hallgren, Deanna</v>
          </cell>
          <cell r="D98" t="str">
            <v>Federal Emergency Management Agency</v>
          </cell>
        </row>
        <row r="99">
          <cell r="A99" t="str">
            <v>Hamilton, Timmarie</v>
          </cell>
          <cell r="D99" t="str">
            <v>Feld Entertainment, Inc.</v>
          </cell>
        </row>
        <row r="100">
          <cell r="A100" t="str">
            <v>Hart, James</v>
          </cell>
          <cell r="D100" t="str">
            <v>Fluke Thermography</v>
          </cell>
        </row>
        <row r="101">
          <cell r="A101" t="str">
            <v>Havel, John</v>
          </cell>
          <cell r="D101" t="str">
            <v>Fordland R-III School District</v>
          </cell>
        </row>
        <row r="102">
          <cell r="A102" t="str">
            <v>Hein, Stephanie</v>
          </cell>
          <cell r="D102" t="str">
            <v>Forest Institute of Professional Psychology</v>
          </cell>
        </row>
        <row r="103">
          <cell r="A103" t="str">
            <v>Hellman, Andrea</v>
          </cell>
          <cell r="D103" t="str">
            <v>Fox C-6 School District</v>
          </cell>
        </row>
        <row r="104">
          <cell r="A104" t="str">
            <v>Hensley, Ronald</v>
          </cell>
          <cell r="D104" t="str">
            <v>FOX Radio Network</v>
          </cell>
        </row>
        <row r="105">
          <cell r="A105" t="str">
            <v>Hetzler, Tona</v>
          </cell>
          <cell r="D105" t="str">
            <v>Friends of Hidden Waters, Inc.</v>
          </cell>
        </row>
        <row r="106">
          <cell r="A106" t="str">
            <v>Hickey, Dennis</v>
          </cell>
          <cell r="D106" t="str">
            <v>Fulbright</v>
          </cell>
        </row>
        <row r="107">
          <cell r="A107" t="str">
            <v>Hood, Jane</v>
          </cell>
          <cell r="D107" t="str">
            <v>Gelstat Corporation</v>
          </cell>
        </row>
        <row r="108">
          <cell r="A108" t="str">
            <v>Hough, Lyon</v>
          </cell>
          <cell r="D108" t="str">
            <v>Genysis Nutritional Labs</v>
          </cell>
        </row>
        <row r="109">
          <cell r="A109" t="str">
            <v>Howard, Susanne</v>
          </cell>
          <cell r="D109" t="str">
            <v>Google</v>
          </cell>
        </row>
        <row r="110">
          <cell r="A110" t="str">
            <v>Howerton, Phillip</v>
          </cell>
          <cell r="D110" t="str">
            <v>Grasslands Consultants LLC</v>
          </cell>
        </row>
        <row r="111">
          <cell r="A111" t="str">
            <v>Hwang, Chin-Feng</v>
          </cell>
          <cell r="D111" t="str">
            <v>Great Circle</v>
          </cell>
        </row>
        <row r="112">
          <cell r="A112" t="str">
            <v>Ingram, Suzanne</v>
          </cell>
          <cell r="D112" t="str">
            <v>Greene County</v>
          </cell>
        </row>
        <row r="113">
          <cell r="A113" t="str">
            <v>Iqbal, Razib</v>
          </cell>
          <cell r="D113" t="str">
            <v>Greene County Planning Department</v>
          </cell>
        </row>
        <row r="114">
          <cell r="A114" t="str">
            <v>Jahnke, Tamera</v>
          </cell>
          <cell r="D114" t="str">
            <v>Greene County Resource Management</v>
          </cell>
        </row>
        <row r="115">
          <cell r="A115" t="str">
            <v>Jankovic, Aleksandar</v>
          </cell>
          <cell r="D115" t="str">
            <v>Hainan University</v>
          </cell>
        </row>
        <row r="116">
          <cell r="A116" t="str">
            <v>Jennings, Mary Ann</v>
          </cell>
          <cell r="D116" t="str">
            <v>Hartville R-II School District</v>
          </cell>
        </row>
        <row r="117">
          <cell r="A117" t="str">
            <v>Johnson, Janelle</v>
          </cell>
          <cell r="D117" t="str">
            <v>Hawthorn Foundation</v>
          </cell>
        </row>
        <row r="118">
          <cell r="A118" t="str">
            <v>Jolley, Jason</v>
          </cell>
          <cell r="D118" t="str">
            <v>Health Resources and Services Administration</v>
          </cell>
        </row>
        <row r="119">
          <cell r="A119" t="str">
            <v>Kaf, Wafaa</v>
          </cell>
          <cell r="D119" t="str">
            <v>Hearing Health Foundation</v>
          </cell>
        </row>
        <row r="120">
          <cell r="A120" t="str">
            <v>Kammerer, Joseph</v>
          </cell>
          <cell r="D120" t="str">
            <v>Henan University of Economics and Law</v>
          </cell>
        </row>
        <row r="121">
          <cell r="A121" t="str">
            <v>Kaps, Martin</v>
          </cell>
          <cell r="D121" t="str">
            <v>HNTB Corporation</v>
          </cell>
        </row>
        <row r="122">
          <cell r="A122" t="str">
            <v>Keeth, Jonathan</v>
          </cell>
          <cell r="D122" t="str">
            <v>Humansville R-IV School District</v>
          </cell>
        </row>
        <row r="123">
          <cell r="A123" t="str">
            <v>Killion, Kurt</v>
          </cell>
          <cell r="D123" t="str">
            <v>Institute of Museum &amp; Library Services</v>
          </cell>
        </row>
        <row r="124">
          <cell r="A124" t="str">
            <v>Kim, Kyoungtae</v>
          </cell>
          <cell r="D124" t="str">
            <v>Internal Revenue Service</v>
          </cell>
        </row>
        <row r="125">
          <cell r="A125" t="str">
            <v>Kline, Katie</v>
          </cell>
          <cell r="D125" t="str">
            <v>International Dehydrated Foods</v>
          </cell>
        </row>
        <row r="126">
          <cell r="A126" t="str">
            <v>Knapp, Timothy</v>
          </cell>
          <cell r="D126" t="str">
            <v>International Management Education Center</v>
          </cell>
        </row>
        <row r="127">
          <cell r="A127" t="str">
            <v>Knight, Rachel</v>
          </cell>
          <cell r="D127" t="str">
            <v>Iowa State University</v>
          </cell>
        </row>
        <row r="128">
          <cell r="A128" t="str">
            <v>Knowles, Amy</v>
          </cell>
          <cell r="D128" t="str">
            <v>James River Basin Partnership</v>
          </cell>
        </row>
        <row r="129">
          <cell r="A129" t="str">
            <v>Kohnen, Angela</v>
          </cell>
          <cell r="D129" t="str">
            <v>Jim Carson (private individual)</v>
          </cell>
        </row>
        <row r="130">
          <cell r="A130" t="str">
            <v>Kovacs, Laszlo</v>
          </cell>
          <cell r="D130" t="str">
            <v>Joplin Parks Department</v>
          </cell>
        </row>
        <row r="131">
          <cell r="A131" t="str">
            <v>Kuhlmeier, Sylvia</v>
          </cell>
          <cell r="D131" t="str">
            <v>Junction Hill C-12 School District</v>
          </cell>
        </row>
        <row r="132">
          <cell r="A132" t="str">
            <v>Kunkel, Allen</v>
          </cell>
          <cell r="D132" t="str">
            <v>Kansas Department of Wildlife, Parks and Tourism</v>
          </cell>
        </row>
        <row r="133">
          <cell r="A133" t="str">
            <v>Lancaster, Dennis</v>
          </cell>
          <cell r="D133" t="str">
            <v>Kansas State Historical Society</v>
          </cell>
        </row>
        <row r="134">
          <cell r="A134" t="str">
            <v>Lancaster, Phillip</v>
          </cell>
          <cell r="D134" t="str">
            <v>Kansas State University</v>
          </cell>
        </row>
        <row r="135">
          <cell r="A135" t="str">
            <v>Lancaster, Sarah</v>
          </cell>
          <cell r="D135" t="str">
            <v>Keck Observatory</v>
          </cell>
        </row>
        <row r="136">
          <cell r="A136" t="str">
            <v>Langer, Carol</v>
          </cell>
          <cell r="D136" t="str">
            <v>Kenneth Jacobs</v>
          </cell>
        </row>
        <row r="137">
          <cell r="A137" t="str">
            <v>Lehman, Timothy</v>
          </cell>
          <cell r="D137" t="str">
            <v>Kerr Center for Sustainable Agriculture</v>
          </cell>
        </row>
        <row r="138">
          <cell r="A138" t="str">
            <v>Leis, Sherry</v>
          </cell>
          <cell r="D138" t="str">
            <v>Kirksville College of Osteopathic Medicine AHEC Office</v>
          </cell>
        </row>
        <row r="139">
          <cell r="A139" t="str">
            <v>Ligon, Day</v>
          </cell>
          <cell r="D139" t="str">
            <v>Kolb Grading</v>
          </cell>
        </row>
        <row r="140">
          <cell r="A140" t="str">
            <v>Loge, Jana</v>
          </cell>
          <cell r="D140" t="str">
            <v>LAD Foundation</v>
          </cell>
        </row>
        <row r="141">
          <cell r="A141" t="str">
            <v>Lopinot, Neal</v>
          </cell>
          <cell r="D141" t="str">
            <v>Lake of the Ozarks Council of Local Governments</v>
          </cell>
        </row>
        <row r="142">
          <cell r="A142" t="str">
            <v>Lunday, Herb</v>
          </cell>
          <cell r="D142" t="str">
            <v>Lamar R-I School District</v>
          </cell>
        </row>
        <row r="143">
          <cell r="A143" t="str">
            <v>Luo, Jun</v>
          </cell>
          <cell r="D143" t="str">
            <v>Lebanon Schools</v>
          </cell>
        </row>
        <row r="144">
          <cell r="A144" t="str">
            <v>Lupfer, Christopher</v>
          </cell>
          <cell r="D144" t="str">
            <v>Lester E Cox Medical Centers</v>
          </cell>
        </row>
        <row r="145">
          <cell r="A145" t="str">
            <v>MacGregor, Cynthia</v>
          </cell>
          <cell r="D145" t="str">
            <v>MAP Pharmaceutical, Inc.</v>
          </cell>
        </row>
        <row r="146">
          <cell r="A146" t="str">
            <v>Maher, Sean</v>
          </cell>
          <cell r="D146" t="str">
            <v>Marion C Early R-V School District</v>
          </cell>
        </row>
        <row r="147">
          <cell r="A147" t="str">
            <v>Malega, Ronald</v>
          </cell>
          <cell r="D147" t="str">
            <v>Marshfield R-I School District</v>
          </cell>
        </row>
        <row r="148">
          <cell r="A148" t="str">
            <v>Masterson, Julie</v>
          </cell>
          <cell r="D148" t="str">
            <v>Marshfield Senior Center</v>
          </cell>
        </row>
        <row r="149">
          <cell r="A149" t="str">
            <v>Mathis, S Alicia</v>
          </cell>
          <cell r="D149" t="str">
            <v>Mathematical Association of America</v>
          </cell>
        </row>
        <row r="150">
          <cell r="A150" t="str">
            <v>Mattocks, Vicki</v>
          </cell>
          <cell r="D150" t="str">
            <v>Mayor's Commission for Children</v>
          </cell>
        </row>
        <row r="151">
          <cell r="A151" t="str">
            <v>Mawhiney, Shannon</v>
          </cell>
          <cell r="D151" t="str">
            <v>McDonald County R-I School District</v>
          </cell>
        </row>
        <row r="152">
          <cell r="A152" t="str">
            <v>May, Diane</v>
          </cell>
          <cell r="D152" t="str">
            <v>MEC Water Resources</v>
          </cell>
        </row>
        <row r="153">
          <cell r="A153" t="str">
            <v>Mayanovic, Robert</v>
          </cell>
          <cell r="D153" t="str">
            <v>Mellon Foundation</v>
          </cell>
        </row>
        <row r="154">
          <cell r="A154" t="str">
            <v>McClain, William</v>
          </cell>
          <cell r="D154" t="str">
            <v>Merck &amp; Co.</v>
          </cell>
        </row>
        <row r="155">
          <cell r="A155" t="str">
            <v>McCroskey, Marilyn</v>
          </cell>
          <cell r="D155" t="str">
            <v>Mercy Foundation</v>
          </cell>
        </row>
        <row r="156">
          <cell r="A156" t="str">
            <v>McKay, Matthew</v>
          </cell>
          <cell r="D156" t="str">
            <v>Mercy Health System</v>
          </cell>
        </row>
        <row r="157">
          <cell r="A157" t="str">
            <v>Meinert, David</v>
          </cell>
          <cell r="D157" t="str">
            <v>Mercy Medical Research Institute</v>
          </cell>
        </row>
        <row r="158">
          <cell r="A158" t="str">
            <v>Miao, Xin</v>
          </cell>
          <cell r="D158" t="str">
            <v>Mercy Sports Medicine</v>
          </cell>
        </row>
        <row r="159">
          <cell r="A159" t="str">
            <v>Michelfelder, Gary</v>
          </cell>
          <cell r="D159" t="str">
            <v>MFA Oil Foundation</v>
          </cell>
        </row>
        <row r="160">
          <cell r="A160" t="str">
            <v>Mickus, Kevin</v>
          </cell>
          <cell r="D160" t="str">
            <v>Microsoft</v>
          </cell>
        </row>
        <row r="161">
          <cell r="A161" t="str">
            <v>Mitchell, D W</v>
          </cell>
          <cell r="D161" t="str">
            <v>Mid-America Athletic Trainers' Association</v>
          </cell>
        </row>
        <row r="162">
          <cell r="A162" t="str">
            <v>Mitra, Saibal</v>
          </cell>
          <cell r="D162" t="str">
            <v>Missouri Academy of Nutrition and Dietetics</v>
          </cell>
        </row>
        <row r="163">
          <cell r="A163" t="str">
            <v>Moore, Renee</v>
          </cell>
          <cell r="D163" t="str">
            <v>Missouri Army National Guard</v>
          </cell>
        </row>
        <row r="164">
          <cell r="A164" t="str">
            <v>Moore, Robert</v>
          </cell>
          <cell r="D164" t="str">
            <v>Missouri Arts Council</v>
          </cell>
        </row>
        <row r="165">
          <cell r="A165" t="str">
            <v>Morris, Robert T</v>
          </cell>
          <cell r="D165" t="str">
            <v>Missouri Assistive Technology</v>
          </cell>
        </row>
        <row r="166">
          <cell r="A166" t="str">
            <v>Nordyke, Kathy</v>
          </cell>
          <cell r="D166" t="str">
            <v>Missouri Department of Agriculture</v>
          </cell>
        </row>
        <row r="167">
          <cell r="A167" t="str">
            <v>Norgren, Michelle</v>
          </cell>
          <cell r="D167" t="str">
            <v>Missouri Department of Conservation</v>
          </cell>
        </row>
        <row r="168">
          <cell r="A168" t="str">
            <v>Novik, Melinda</v>
          </cell>
          <cell r="D168" t="str">
            <v>Missouri Department of Economic Development</v>
          </cell>
        </row>
        <row r="169">
          <cell r="A169" t="str">
            <v>Nowell, Y Anjanette</v>
          </cell>
          <cell r="D169" t="str">
            <v>Missouri Department of Elementary and Secondary Education</v>
          </cell>
        </row>
        <row r="170">
          <cell r="A170" t="str">
            <v>Odneal, Marilyn</v>
          </cell>
          <cell r="D170" t="str">
            <v>Missouri Department of Health</v>
          </cell>
        </row>
        <row r="171">
          <cell r="A171" t="str">
            <v>Oetting, Tara</v>
          </cell>
          <cell r="D171" t="str">
            <v>Missouri Department of Health and Senior Services</v>
          </cell>
        </row>
        <row r="172">
          <cell r="A172" t="str">
            <v>Onyango, Benjamin</v>
          </cell>
          <cell r="D172" t="str">
            <v>Missouri Department of Higher Education</v>
          </cell>
        </row>
        <row r="173">
          <cell r="A173" t="str">
            <v>Ostensen, Roy</v>
          </cell>
          <cell r="D173" t="str">
            <v>Missouri Department of Natural Resources</v>
          </cell>
        </row>
        <row r="174">
          <cell r="A174" t="str">
            <v>Oswalt, Jill</v>
          </cell>
          <cell r="D174" t="str">
            <v>Missouri Department of Social Services</v>
          </cell>
        </row>
        <row r="175">
          <cell r="A175" t="str">
            <v>Owen, Marc</v>
          </cell>
          <cell r="D175" t="str">
            <v>Missouri Department of Social Work</v>
          </cell>
        </row>
        <row r="176">
          <cell r="A176" t="str">
            <v>Parrish, Erin</v>
          </cell>
          <cell r="D176" t="str">
            <v>Missouri Department of Transportation</v>
          </cell>
        </row>
        <row r="177">
          <cell r="A177" t="str">
            <v>Patel, Rishi</v>
          </cell>
          <cell r="D177" t="str">
            <v>Missouri Emergency Management Agency</v>
          </cell>
        </row>
        <row r="178">
          <cell r="A178" t="str">
            <v>Patterson, Jill</v>
          </cell>
          <cell r="D178" t="str">
            <v>Missouri Farm Bureau Services</v>
          </cell>
        </row>
        <row r="179">
          <cell r="A179" t="str">
            <v>Pavlowsky, Robert</v>
          </cell>
          <cell r="D179" t="str">
            <v>Missouri Foundation for Health</v>
          </cell>
        </row>
        <row r="180">
          <cell r="A180" t="str">
            <v>Payne, Heather</v>
          </cell>
          <cell r="D180" t="str">
            <v>Missouri Grape and Wine Board</v>
          </cell>
        </row>
        <row r="181">
          <cell r="A181" t="str">
            <v>Payne, Keith</v>
          </cell>
          <cell r="D181" t="str">
            <v>Missouri Humanities Council</v>
          </cell>
        </row>
        <row r="182">
          <cell r="A182" t="str">
            <v>Perkins, Amanda</v>
          </cell>
          <cell r="D182" t="str">
            <v>Missouri Innovation Campus</v>
          </cell>
        </row>
        <row r="183">
          <cell r="A183" t="str">
            <v>Perryman, Kristi</v>
          </cell>
          <cell r="D183" t="str">
            <v>Missouri Life Science Research Board</v>
          </cell>
        </row>
        <row r="184">
          <cell r="A184" t="str">
            <v>Peters, Thomas</v>
          </cell>
          <cell r="D184" t="str">
            <v>Missouri Office of Adminstration</v>
          </cell>
        </row>
        <row r="185">
          <cell r="A185" t="str">
            <v>Piccolo, Diana</v>
          </cell>
          <cell r="D185" t="str">
            <v>Missouri Office of Homeland Security</v>
          </cell>
        </row>
        <row r="186">
          <cell r="A186" t="str">
            <v>Pierson, Matthew</v>
          </cell>
          <cell r="D186" t="str">
            <v>Missouri Public Broadcasting Corporation</v>
          </cell>
        </row>
        <row r="187">
          <cell r="A187" t="str">
            <v>Plavchan, Peter</v>
          </cell>
          <cell r="D187" t="str">
            <v>Missouri Solid Waste Management, District O</v>
          </cell>
        </row>
        <row r="188">
          <cell r="A188" t="str">
            <v>Plymate, Lynda</v>
          </cell>
          <cell r="D188" t="str">
            <v>Missouri Special Olympics</v>
          </cell>
        </row>
        <row r="189">
          <cell r="A189" t="str">
            <v>Poston, Tracey</v>
          </cell>
          <cell r="D189" t="str">
            <v>Missouri State Highway Patrol</v>
          </cell>
        </row>
        <row r="190">
          <cell r="A190" t="str">
            <v>Proctor, Lisa</v>
          </cell>
          <cell r="D190" t="str">
            <v>Missouri State Library</v>
          </cell>
        </row>
        <row r="191">
          <cell r="A191" t="str">
            <v>Pszczolkowski, Maciej</v>
          </cell>
          <cell r="D191" t="str">
            <v>Missouri State Public Health Laboratory</v>
          </cell>
        </row>
        <row r="192">
          <cell r="A192" t="str">
            <v>Qiu, Wenping</v>
          </cell>
          <cell r="D192" t="str">
            <v>Missouri Technology Corporation</v>
          </cell>
        </row>
        <row r="193">
          <cell r="A193" t="str">
            <v>Qiu, Xiaomin</v>
          </cell>
          <cell r="D193" t="str">
            <v>Missouri University of Science &amp; Technology</v>
          </cell>
        </row>
        <row r="194">
          <cell r="A194" t="str">
            <v>Ray, Jack</v>
          </cell>
          <cell r="D194" t="str">
            <v>Mountain Grove School District</v>
          </cell>
        </row>
        <row r="195">
          <cell r="A195" t="str">
            <v>Ray, Jason</v>
          </cell>
          <cell r="D195" t="str">
            <v>N/A</v>
          </cell>
        </row>
        <row r="196">
          <cell r="A196" t="str">
            <v>Rebaza-Vasquez, Jorge</v>
          </cell>
          <cell r="D196" t="str">
            <v>National Aeronautics and Space Administration</v>
          </cell>
        </row>
        <row r="197">
          <cell r="A197" t="str">
            <v>Redd, Emmett</v>
          </cell>
          <cell r="D197" t="str">
            <v>National Athletic Trainers' Association</v>
          </cell>
        </row>
        <row r="198">
          <cell r="A198" t="str">
            <v>Reed, Michael</v>
          </cell>
          <cell r="D198" t="str">
            <v>National Cooperative Highway Research Program</v>
          </cell>
        </row>
        <row r="199">
          <cell r="A199" t="str">
            <v>Reichling, Susanna</v>
          </cell>
          <cell r="D199" t="str">
            <v>National Endowment for the Humanities</v>
          </cell>
        </row>
        <row r="200">
          <cell r="A200" t="str">
            <v>Reid, Helen</v>
          </cell>
          <cell r="D200" t="str">
            <v>National Geospatial-Intelligence Agency</v>
          </cell>
        </row>
        <row r="201">
          <cell r="A201" t="str">
            <v>Reid, Les</v>
          </cell>
          <cell r="D201" t="str">
            <v>National Institute of Justice</v>
          </cell>
        </row>
        <row r="202">
          <cell r="A202" t="str">
            <v>Remley, Melissa</v>
          </cell>
          <cell r="D202" t="str">
            <v>National Institute of Standards and Technology</v>
          </cell>
        </row>
        <row r="203">
          <cell r="A203" t="str">
            <v>Renner, Jane</v>
          </cell>
          <cell r="D203" t="str">
            <v>National Institutes of Health</v>
          </cell>
        </row>
        <row r="204">
          <cell r="A204" t="str">
            <v>Reynolds, Kristie</v>
          </cell>
          <cell r="D204" t="str">
            <v>National Park Service</v>
          </cell>
        </row>
        <row r="205">
          <cell r="A205" t="str">
            <v>Richards, David</v>
          </cell>
          <cell r="D205" t="str">
            <v>National Science Foundation</v>
          </cell>
        </row>
        <row r="206">
          <cell r="A206" t="str">
            <v>Rimal, Arbindra</v>
          </cell>
          <cell r="D206" t="str">
            <v>National Security Agency</v>
          </cell>
        </row>
        <row r="207">
          <cell r="A207" t="str">
            <v>Robbins, Lynn</v>
          </cell>
          <cell r="D207" t="str">
            <v>National Trust for Historic Preservation</v>
          </cell>
        </row>
        <row r="208">
          <cell r="A208" t="str">
            <v>Roberts, Hillary</v>
          </cell>
          <cell r="D208" t="str">
            <v>National Wild Turkey Federation</v>
          </cell>
        </row>
        <row r="209">
          <cell r="A209" t="str">
            <v>Robinette, Stephen</v>
          </cell>
          <cell r="D209" t="str">
            <v>National Writing Project</v>
          </cell>
        </row>
        <row r="210">
          <cell r="A210" t="str">
            <v>Robison, Jane</v>
          </cell>
          <cell r="D210" t="str">
            <v>NAVSUP Fleet Logistics Center San Diego</v>
          </cell>
        </row>
        <row r="211">
          <cell r="A211" t="str">
            <v>Rockney, Andrea</v>
          </cell>
          <cell r="D211" t="str">
            <v>Nevada R-V School District</v>
          </cell>
        </row>
        <row r="212">
          <cell r="A212" t="str">
            <v>Romano, David</v>
          </cell>
          <cell r="D212" t="str">
            <v>Ningxia University, P.R. China</v>
          </cell>
        </row>
        <row r="213">
          <cell r="A213" t="str">
            <v>Rongali, Sharath</v>
          </cell>
          <cell r="D213" t="str">
            <v>North Caroloina Campus Compact</v>
          </cell>
        </row>
        <row r="214">
          <cell r="A214" t="str">
            <v>Rugutt, Joseph</v>
          </cell>
          <cell r="D214" t="str">
            <v>Office of Naval Research</v>
          </cell>
        </row>
        <row r="215">
          <cell r="A215" t="str">
            <v>Ryburn, Karen R</v>
          </cell>
          <cell r="D215" t="str">
            <v>Oklahoma Department of Wildlife Conservation</v>
          </cell>
        </row>
        <row r="216">
          <cell r="A216" t="str">
            <v>Ryder, Christina</v>
          </cell>
          <cell r="D216" t="str">
            <v>Oklahoma State University</v>
          </cell>
        </row>
        <row r="217">
          <cell r="A217" t="str">
            <v>Sakidja, Ridwan</v>
          </cell>
          <cell r="D217" t="str">
            <v>Olsson and Associates</v>
          </cell>
        </row>
        <row r="218">
          <cell r="A218" t="str">
            <v>Schmalzbauer, John</v>
          </cell>
          <cell r="D218" t="str">
            <v>Palmerton and Parish, Inc.</v>
          </cell>
        </row>
        <row r="219">
          <cell r="A219" t="str">
            <v>Schneider, Scott</v>
          </cell>
          <cell r="D219" t="str">
            <v>Panamerican, Inc.</v>
          </cell>
        </row>
        <row r="220">
          <cell r="A220" t="str">
            <v>Schweiger, Paul</v>
          </cell>
          <cell r="D220" t="str">
            <v>PAST Foundation</v>
          </cell>
        </row>
        <row r="221">
          <cell r="A221" t="str">
            <v>Sedaghat-Herati, Reza</v>
          </cell>
          <cell r="D221" t="str">
            <v>People's Government of Ningxia Hui Autonomous Region</v>
          </cell>
        </row>
        <row r="222">
          <cell r="A222" t="str">
            <v>Seevers, Lindsey</v>
          </cell>
          <cell r="D222" t="str">
            <v>Peoria Tribe of Indians of Oklahoma</v>
          </cell>
        </row>
        <row r="223">
          <cell r="A223" t="str">
            <v>Sellers, Marie</v>
          </cell>
          <cell r="D223" t="str">
            <v>Phigenics</v>
          </cell>
        </row>
        <row r="224">
          <cell r="A224" t="str">
            <v>Senger, Steven</v>
          </cell>
          <cell r="D224" t="str">
            <v>Physical Sciences Inc.</v>
          </cell>
        </row>
        <row r="225">
          <cell r="A225" t="str">
            <v>Siebert, Matthew</v>
          </cell>
          <cell r="D225" t="str">
            <v>Physician Assistant Education Association</v>
          </cell>
        </row>
        <row r="226">
          <cell r="A226" t="str">
            <v>Sims-Giddens, Susan</v>
          </cell>
          <cell r="D226" t="str">
            <v>Produce for Better Health Foundation</v>
          </cell>
        </row>
        <row r="227">
          <cell r="A227" t="str">
            <v>Slattery, Dianne</v>
          </cell>
          <cell r="D227" t="str">
            <v>Professional and Organization Development Network in Higher Education</v>
          </cell>
        </row>
        <row r="228">
          <cell r="A228" t="str">
            <v>Smith, Joshua</v>
          </cell>
          <cell r="D228" t="str">
            <v>Project WET Foundation</v>
          </cell>
        </row>
        <row r="229">
          <cell r="A229" t="str">
            <v>Speer, Robert</v>
          </cell>
          <cell r="D229" t="str">
            <v>Qingdao University, P.R.C.</v>
          </cell>
        </row>
        <row r="230">
          <cell r="A230" t="str">
            <v>Steinle, Erich</v>
          </cell>
          <cell r="D230" t="str">
            <v>Reiman Foundation, Inc.</v>
          </cell>
        </row>
        <row r="231">
          <cell r="A231" t="str">
            <v>Stepanova, Maria</v>
          </cell>
          <cell r="D231" t="str">
            <v>Research Corporation for Science Advancement</v>
          </cell>
        </row>
        <row r="232">
          <cell r="A232" t="str">
            <v>Stewart, Byron</v>
          </cell>
          <cell r="D232" t="str">
            <v>Research Foundation for the State University of New York</v>
          </cell>
        </row>
        <row r="233">
          <cell r="A233" t="str">
            <v>Stewart, Tammy</v>
          </cell>
          <cell r="D233" t="str">
            <v>Robertson Contractors</v>
          </cell>
        </row>
        <row r="234">
          <cell r="A234" t="str">
            <v>Stone, Lorene</v>
          </cell>
          <cell r="D234" t="str">
            <v>Rural Community College Alliance</v>
          </cell>
        </row>
        <row r="235">
          <cell r="A235" t="str">
            <v>Stout, Michael</v>
          </cell>
          <cell r="D235" t="str">
            <v>Saint Louis Agency on Training and Employment</v>
          </cell>
        </row>
        <row r="236">
          <cell r="A236" t="str">
            <v>Sudbrock, Christine</v>
          </cell>
          <cell r="D236" t="str">
            <v>Saint Louis Science Center</v>
          </cell>
        </row>
        <row r="237">
          <cell r="A237" t="str">
            <v>Sullivan, Patrick</v>
          </cell>
          <cell r="D237" t="str">
            <v>Saint Louis University</v>
          </cell>
        </row>
        <row r="238">
          <cell r="A238" t="str">
            <v>Sun, Xingping</v>
          </cell>
          <cell r="D238" t="str">
            <v>Sertoma, Inc.</v>
          </cell>
        </row>
        <row r="239">
          <cell r="A239" t="str">
            <v>Sutliff, Kristene</v>
          </cell>
          <cell r="D239" t="str">
            <v>Seymour R-II School District</v>
          </cell>
        </row>
        <row r="240">
          <cell r="A240" t="str">
            <v>Tassin, Kerri</v>
          </cell>
          <cell r="D240" t="str">
            <v>Shamrock Marketing Services, Inc.</v>
          </cell>
        </row>
        <row r="241">
          <cell r="D241" t="str">
            <v>Shell Knob School District</v>
          </cell>
        </row>
        <row r="242">
          <cell r="D242" t="str">
            <v>SI2 Technologies, Inc.</v>
          </cell>
        </row>
        <row r="243">
          <cell r="D243" t="str">
            <v>Skaggs Foundation</v>
          </cell>
        </row>
        <row r="244">
          <cell r="D244" t="str">
            <v>Small Business Administration</v>
          </cell>
        </row>
        <row r="245">
          <cell r="D245" t="str">
            <v>Society for the Teaching of Psychology</v>
          </cell>
        </row>
        <row r="246">
          <cell r="D246" t="str">
            <v>South China University of Technology</v>
          </cell>
        </row>
        <row r="247">
          <cell r="D247" t="str">
            <v>Southeast Missouri State University</v>
          </cell>
        </row>
        <row r="248">
          <cell r="D248" t="str">
            <v>Southwest RV School District</v>
          </cell>
        </row>
        <row r="249">
          <cell r="D249" t="str">
            <v>Spencer Educational Foundation, Inc.</v>
          </cell>
        </row>
        <row r="250">
          <cell r="D250" t="str">
            <v>Sprenkle &amp; Associate, Inc.</v>
          </cell>
        </row>
        <row r="251">
          <cell r="D251" t="str">
            <v>Springfield Area Chamber of Commerce</v>
          </cell>
        </row>
        <row r="252">
          <cell r="D252" t="str">
            <v>Springfield Black Tie, Inc.</v>
          </cell>
        </row>
        <row r="253">
          <cell r="D253" t="str">
            <v>Springfield Business Development Corporation</v>
          </cell>
        </row>
        <row r="254">
          <cell r="D254" t="str">
            <v>Springfield Greene County Public Health Department</v>
          </cell>
        </row>
        <row r="255">
          <cell r="D255" t="str">
            <v>Springfield Public Schools</v>
          </cell>
        </row>
        <row r="256">
          <cell r="D256" t="str">
            <v>State Emergency Management Agency</v>
          </cell>
        </row>
        <row r="257">
          <cell r="D257" t="str">
            <v>Statistical Research, Inc.</v>
          </cell>
        </row>
        <row r="258">
          <cell r="D258" t="str">
            <v>Stockton R-I School District</v>
          </cell>
        </row>
        <row r="259">
          <cell r="D259" t="str">
            <v>Strafford R-VI School District</v>
          </cell>
        </row>
        <row r="260">
          <cell r="D260" t="str">
            <v>Substance Abuse and Mental Health Services Administration</v>
          </cell>
        </row>
        <row r="261">
          <cell r="D261" t="str">
            <v>Taiwan Foundation for Democracy</v>
          </cell>
        </row>
        <row r="262">
          <cell r="D262" t="str">
            <v>Taneyville R-II School District</v>
          </cell>
        </row>
        <row r="263">
          <cell r="D263" t="str">
            <v>Tansna Therapeutics</v>
          </cell>
        </row>
        <row r="264">
          <cell r="D264" t="str">
            <v>Texas Department of Transportation</v>
          </cell>
        </row>
        <row r="265">
          <cell r="D265" t="str">
            <v>Texas State University</v>
          </cell>
        </row>
        <row r="266">
          <cell r="D266" t="str">
            <v>Tiger Paw Early Childhood Center</v>
          </cell>
        </row>
        <row r="267">
          <cell r="D267" t="str">
            <v>Tri-State Engineering</v>
          </cell>
        </row>
        <row r="268">
          <cell r="D268" t="str">
            <v>Triton Systems, Inc.</v>
          </cell>
        </row>
        <row r="269">
          <cell r="D269" t="str">
            <v>Tuning Elements</v>
          </cell>
        </row>
        <row r="270">
          <cell r="D270" t="str">
            <v>University Court of the University of St Andrews</v>
          </cell>
        </row>
        <row r="271">
          <cell r="D271" t="str">
            <v>University of Arizona</v>
          </cell>
        </row>
        <row r="272">
          <cell r="D272" t="str">
            <v>University of Dayton Research Institute</v>
          </cell>
        </row>
        <row r="273">
          <cell r="D273" t="str">
            <v>University of Houston</v>
          </cell>
        </row>
        <row r="274">
          <cell r="D274" t="str">
            <v>University of Illinois</v>
          </cell>
        </row>
        <row r="275">
          <cell r="D275" t="str">
            <v>University of Kansas</v>
          </cell>
        </row>
        <row r="276">
          <cell r="D276" t="str">
            <v>University of Missouri</v>
          </cell>
        </row>
        <row r="277">
          <cell r="D277" t="str">
            <v>University of Nevada Reno</v>
          </cell>
        </row>
        <row r="278">
          <cell r="D278" t="str">
            <v>University of Northern Iowa</v>
          </cell>
        </row>
        <row r="279">
          <cell r="D279" t="str">
            <v>University of Texas</v>
          </cell>
        </row>
        <row r="280">
          <cell r="D280" t="str">
            <v>University of Wisconsin</v>
          </cell>
        </row>
        <row r="281">
          <cell r="D281" t="str">
            <v>US Army Corp of Engineers</v>
          </cell>
        </row>
        <row r="282">
          <cell r="D282" t="str">
            <v>US Bank</v>
          </cell>
        </row>
        <row r="283">
          <cell r="D283" t="str">
            <v>US Department of Agriculture</v>
          </cell>
        </row>
        <row r="284">
          <cell r="D284" t="str">
            <v>US Department of Commerce</v>
          </cell>
        </row>
        <row r="285">
          <cell r="D285" t="str">
            <v>US Department of Defense</v>
          </cell>
        </row>
        <row r="286">
          <cell r="D286" t="str">
            <v>US Department of Education</v>
          </cell>
        </row>
        <row r="287">
          <cell r="D287" t="str">
            <v>US Department of Energy</v>
          </cell>
        </row>
        <row r="288">
          <cell r="D288" t="str">
            <v>US Department of Health and Human Services</v>
          </cell>
        </row>
        <row r="289">
          <cell r="D289" t="str">
            <v>US Department of Homeland Security</v>
          </cell>
        </row>
        <row r="290">
          <cell r="D290" t="str">
            <v>US Department of Housing and Urban Development</v>
          </cell>
        </row>
        <row r="291">
          <cell r="D291" t="str">
            <v>US Department of Justice</v>
          </cell>
        </row>
        <row r="292">
          <cell r="D292" t="str">
            <v>US Department of Labor</v>
          </cell>
        </row>
        <row r="293">
          <cell r="D293" t="str">
            <v>US Department of State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-Colleg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s"/>
      <sheetName val="Cost Share Submission Detail"/>
      <sheetName val="Awards"/>
      <sheetName val="Cost Share Award Detail"/>
      <sheetName val="Month by Month Activity"/>
      <sheetName val="July Activity"/>
      <sheetName val="August Activity"/>
      <sheetName val="September Activity"/>
      <sheetName val="October Activity"/>
      <sheetName val="November Activity"/>
      <sheetName val="December Activity"/>
      <sheetName val="January Activity"/>
      <sheetName val="February Activity"/>
      <sheetName val="March Activity"/>
      <sheetName val="April Activity"/>
      <sheetName val="May Activity"/>
      <sheetName val="June Activity"/>
      <sheetName val="Sorted by Use"/>
      <sheetName val="Sorted by Source"/>
      <sheetName val="Tables"/>
      <sheetName val="Source of Funding Chart"/>
      <sheetName val="Primary Use Chart"/>
    </sheetNames>
    <sheetDataSet>
      <sheetData sheetId="0"/>
      <sheetData sheetId="1"/>
      <sheetData sheetId="2"/>
      <sheetData sheetId="3"/>
      <sheetData sheetId="4">
        <row r="7">
          <cell r="D7" t="str">
            <v>July</v>
          </cell>
        </row>
        <row r="8">
          <cell r="D8" t="str">
            <v>August</v>
          </cell>
        </row>
        <row r="9">
          <cell r="D9" t="str">
            <v>September</v>
          </cell>
        </row>
        <row r="10">
          <cell r="D10" t="str">
            <v>October</v>
          </cell>
        </row>
        <row r="11">
          <cell r="D11" t="str">
            <v>November</v>
          </cell>
        </row>
        <row r="12">
          <cell r="D12" t="str">
            <v>December</v>
          </cell>
        </row>
        <row r="13">
          <cell r="D13" t="str">
            <v>January</v>
          </cell>
        </row>
        <row r="14">
          <cell r="D14" t="str">
            <v>February</v>
          </cell>
        </row>
        <row r="15">
          <cell r="D15" t="str">
            <v>March</v>
          </cell>
        </row>
        <row r="16">
          <cell r="D16" t="str">
            <v>April</v>
          </cell>
        </row>
        <row r="17">
          <cell r="D17" t="str">
            <v>May</v>
          </cell>
        </row>
        <row r="18">
          <cell r="D18" t="str">
            <v>June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C7">
            <v>2010</v>
          </cell>
        </row>
        <row r="8">
          <cell r="C8">
            <v>2011</v>
          </cell>
        </row>
        <row r="9">
          <cell r="C9">
            <v>2012</v>
          </cell>
        </row>
        <row r="10">
          <cell r="C10">
            <v>2013</v>
          </cell>
        </row>
        <row r="11">
          <cell r="C11">
            <v>2014</v>
          </cell>
        </row>
      </sheetData>
      <sheetData sheetId="12"/>
      <sheetData sheetId="13">
        <row r="8">
          <cell r="C8">
            <v>2010</v>
          </cell>
        </row>
        <row r="9">
          <cell r="C9">
            <v>2011</v>
          </cell>
        </row>
        <row r="10">
          <cell r="C10">
            <v>2012</v>
          </cell>
        </row>
        <row r="11">
          <cell r="C11">
            <v>2013</v>
          </cell>
        </row>
        <row r="12">
          <cell r="C12">
            <v>2014</v>
          </cell>
        </row>
      </sheetData>
      <sheetData sheetId="14">
        <row r="7">
          <cell r="C7">
            <v>2010</v>
          </cell>
        </row>
        <row r="8">
          <cell r="C8">
            <v>2011</v>
          </cell>
        </row>
        <row r="9">
          <cell r="C9">
            <v>2012</v>
          </cell>
        </row>
        <row r="10">
          <cell r="C10">
            <v>2013</v>
          </cell>
        </row>
        <row r="11">
          <cell r="C11">
            <v>2014</v>
          </cell>
        </row>
      </sheetData>
      <sheetData sheetId="15">
        <row r="7">
          <cell r="C7">
            <v>2010</v>
          </cell>
        </row>
        <row r="8">
          <cell r="C8">
            <v>2011</v>
          </cell>
        </row>
        <row r="9">
          <cell r="C9">
            <v>2012</v>
          </cell>
        </row>
        <row r="10">
          <cell r="C10">
            <v>2013</v>
          </cell>
        </row>
        <row r="11">
          <cell r="C11">
            <v>2014</v>
          </cell>
        </row>
      </sheetData>
      <sheetData sheetId="16">
        <row r="7">
          <cell r="C7">
            <v>2008</v>
          </cell>
        </row>
        <row r="8">
          <cell r="C8">
            <v>2009</v>
          </cell>
        </row>
        <row r="9">
          <cell r="C9">
            <v>2010</v>
          </cell>
        </row>
        <row r="10">
          <cell r="C10">
            <v>2011</v>
          </cell>
        </row>
        <row r="11">
          <cell r="C11">
            <v>2012</v>
          </cell>
        </row>
      </sheetData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1"/>
  <sheetViews>
    <sheetView showGridLines="0" tabSelected="1" zoomScale="70" zoomScaleNormal="7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2" width="2.7109375" style="8" customWidth="1"/>
    <col min="3" max="3" width="13.7109375" style="75" customWidth="1"/>
    <col min="4" max="4" width="13.7109375" style="76" customWidth="1"/>
    <col min="5" max="5" width="30.7109375" style="77" customWidth="1"/>
    <col min="6" max="6" width="40.7109375" style="78" customWidth="1"/>
    <col min="7" max="8" width="13.7109375" style="53" customWidth="1"/>
    <col min="9" max="9" width="30.7109375" style="78" customWidth="1"/>
    <col min="10" max="10" width="13.7109375" style="53" customWidth="1"/>
    <col min="11" max="11" width="30.7109375" style="35" customWidth="1"/>
    <col min="12" max="12" width="23" style="53" customWidth="1"/>
    <col min="13" max="13" width="27" style="79" customWidth="1"/>
    <col min="14" max="16384" width="9.140625" style="8"/>
  </cols>
  <sheetData>
    <row r="1" spans="1:13" ht="33.75" x14ac:dyDescent="0.25">
      <c r="A1" s="89" t="s">
        <v>228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6.25" x14ac:dyDescent="0.25">
      <c r="A2" s="1" t="s">
        <v>51</v>
      </c>
      <c r="B2" s="2"/>
      <c r="C2" s="3"/>
      <c r="D2" s="4"/>
      <c r="E2" s="1"/>
      <c r="F2" s="5"/>
      <c r="G2" s="6"/>
      <c r="H2" s="6"/>
      <c r="I2" s="7" t="s">
        <v>1</v>
      </c>
      <c r="J2" s="11">
        <f>J3+J7+J41+J56+J106+J173+J208+J372+J376+J380+J390+J396+J418+J530+J577+J582</f>
        <v>470</v>
      </c>
      <c r="K2" s="17"/>
      <c r="L2" s="7" t="s">
        <v>0</v>
      </c>
      <c r="M2" s="10">
        <f>M3+M7+M41+M56+M106+M173+M208+M372+M376+M380+M390+M396+M418+M530+M577+M582</f>
        <v>54552271.269999973</v>
      </c>
    </row>
    <row r="3" spans="1:13" s="46" customFormat="1" ht="21" x14ac:dyDescent="0.25">
      <c r="A3" s="37" t="s">
        <v>13</v>
      </c>
      <c r="B3" s="37"/>
      <c r="C3" s="38"/>
      <c r="D3" s="39"/>
      <c r="E3" s="40"/>
      <c r="F3" s="41"/>
      <c r="G3" s="42"/>
      <c r="H3" s="42"/>
      <c r="I3" s="43" t="s">
        <v>1</v>
      </c>
      <c r="J3" s="42">
        <f>COUNT(M5:M6)</f>
        <v>0</v>
      </c>
      <c r="K3" s="83"/>
      <c r="L3" s="44" t="s">
        <v>0</v>
      </c>
      <c r="M3" s="45">
        <f>SUM(M5:M6)</f>
        <v>0</v>
      </c>
    </row>
    <row r="4" spans="1:13" ht="36.75" customHeight="1" x14ac:dyDescent="0.25">
      <c r="A4" s="80"/>
      <c r="B4" s="80"/>
      <c r="C4" s="47" t="s">
        <v>2</v>
      </c>
      <c r="D4" s="48" t="s">
        <v>3</v>
      </c>
      <c r="E4" s="49" t="s">
        <v>4</v>
      </c>
      <c r="F4" s="50" t="s">
        <v>5</v>
      </c>
      <c r="G4" s="51" t="s">
        <v>6</v>
      </c>
      <c r="H4" s="51" t="s">
        <v>7</v>
      </c>
      <c r="I4" s="50" t="s">
        <v>8</v>
      </c>
      <c r="J4" s="50" t="s">
        <v>9</v>
      </c>
      <c r="K4" s="50" t="s">
        <v>10</v>
      </c>
      <c r="L4" s="51" t="s">
        <v>11</v>
      </c>
      <c r="M4" s="52" t="s">
        <v>12</v>
      </c>
    </row>
    <row r="5" spans="1:13" x14ac:dyDescent="0.25">
      <c r="C5" s="70"/>
      <c r="D5" s="71"/>
      <c r="E5" s="72"/>
      <c r="F5" s="56"/>
      <c r="G5" s="68"/>
      <c r="H5" s="68"/>
      <c r="I5" s="56"/>
      <c r="J5" s="68"/>
      <c r="K5" s="36"/>
      <c r="L5" s="68"/>
      <c r="M5" s="84"/>
    </row>
    <row r="6" spans="1:13" x14ac:dyDescent="0.25">
      <c r="C6" s="70"/>
      <c r="D6" s="71"/>
      <c r="E6" s="72"/>
      <c r="F6" s="56"/>
      <c r="G6" s="68"/>
      <c r="H6" s="68"/>
      <c r="I6" s="56"/>
      <c r="J6" s="68"/>
      <c r="K6" s="36"/>
      <c r="L6" s="68"/>
      <c r="M6" s="84"/>
    </row>
    <row r="7" spans="1:13" ht="21" x14ac:dyDescent="0.25">
      <c r="A7" s="37" t="s">
        <v>24</v>
      </c>
      <c r="B7" s="37"/>
      <c r="C7" s="38"/>
      <c r="D7" s="39"/>
      <c r="E7" s="40"/>
      <c r="F7" s="41"/>
      <c r="G7" s="42"/>
      <c r="H7" s="42"/>
      <c r="I7" s="43" t="s">
        <v>1</v>
      </c>
      <c r="J7" s="42">
        <f>J8+J33</f>
        <v>27</v>
      </c>
      <c r="K7" s="83"/>
      <c r="L7" s="44" t="s">
        <v>0</v>
      </c>
      <c r="M7" s="45">
        <f>M8+M33</f>
        <v>2868309.4800000004</v>
      </c>
    </row>
    <row r="8" spans="1:13" ht="21" x14ac:dyDescent="0.25">
      <c r="A8" s="58"/>
      <c r="B8" s="59" t="s">
        <v>24</v>
      </c>
      <c r="C8" s="60"/>
      <c r="D8" s="61"/>
      <c r="E8" s="62"/>
      <c r="F8" s="63"/>
      <c r="G8" s="64"/>
      <c r="H8" s="64"/>
      <c r="I8" s="65" t="s">
        <v>1</v>
      </c>
      <c r="J8" s="64">
        <f>COUNT(M10:M32)</f>
        <v>22</v>
      </c>
      <c r="K8" s="81"/>
      <c r="L8" s="66" t="s">
        <v>0</v>
      </c>
      <c r="M8" s="67">
        <f>SUM(M10:M32)</f>
        <v>2777756.7800000003</v>
      </c>
    </row>
    <row r="9" spans="1:13" ht="37.5" x14ac:dyDescent="0.25">
      <c r="A9" s="80"/>
      <c r="B9" s="80"/>
      <c r="C9" s="47" t="s">
        <v>2</v>
      </c>
      <c r="D9" s="48" t="s">
        <v>3</v>
      </c>
      <c r="E9" s="49" t="s">
        <v>4</v>
      </c>
      <c r="F9" s="50" t="s">
        <v>5</v>
      </c>
      <c r="G9" s="51" t="s">
        <v>6</v>
      </c>
      <c r="H9" s="51" t="s">
        <v>7</v>
      </c>
      <c r="I9" s="50" t="s">
        <v>8</v>
      </c>
      <c r="J9" s="50" t="s">
        <v>9</v>
      </c>
      <c r="K9" s="50" t="s">
        <v>10</v>
      </c>
      <c r="L9" s="51" t="s">
        <v>11</v>
      </c>
      <c r="M9" s="52" t="s">
        <v>12</v>
      </c>
    </row>
    <row r="10" spans="1:13" x14ac:dyDescent="0.25">
      <c r="C10" s="54">
        <v>42207</v>
      </c>
      <c r="D10" s="9">
        <v>12168</v>
      </c>
      <c r="E10" s="56" t="s">
        <v>119</v>
      </c>
      <c r="F10" s="56" t="s">
        <v>243</v>
      </c>
      <c r="G10" s="57" t="s">
        <v>213</v>
      </c>
      <c r="H10" s="68" t="s">
        <v>78</v>
      </c>
      <c r="I10" s="56" t="s">
        <v>96</v>
      </c>
      <c r="J10" s="68" t="s">
        <v>62</v>
      </c>
      <c r="K10" s="56" t="s">
        <v>92</v>
      </c>
      <c r="L10" s="85" t="s">
        <v>52</v>
      </c>
      <c r="M10" s="69">
        <v>1000</v>
      </c>
    </row>
    <row r="11" spans="1:13" ht="30" x14ac:dyDescent="0.25">
      <c r="C11" s="54">
        <v>42205</v>
      </c>
      <c r="D11" s="9">
        <v>16002</v>
      </c>
      <c r="E11" s="56" t="s">
        <v>119</v>
      </c>
      <c r="F11" s="56" t="s">
        <v>242</v>
      </c>
      <c r="G11" s="57" t="s">
        <v>213</v>
      </c>
      <c r="H11" s="68" t="s">
        <v>78</v>
      </c>
      <c r="I11" s="56" t="s">
        <v>96</v>
      </c>
      <c r="J11" s="68" t="s">
        <v>62</v>
      </c>
      <c r="K11" s="56" t="s">
        <v>208</v>
      </c>
      <c r="L11" s="85" t="s">
        <v>52</v>
      </c>
      <c r="M11" s="69">
        <v>9940.5</v>
      </c>
    </row>
    <row r="12" spans="1:13" ht="45" x14ac:dyDescent="0.25">
      <c r="C12" s="54">
        <v>42207</v>
      </c>
      <c r="D12" s="9">
        <v>16007</v>
      </c>
      <c r="E12" s="56" t="s">
        <v>119</v>
      </c>
      <c r="F12" s="56" t="s">
        <v>244</v>
      </c>
      <c r="G12" s="57" t="s">
        <v>213</v>
      </c>
      <c r="H12" s="68" t="s">
        <v>78</v>
      </c>
      <c r="I12" s="56" t="s">
        <v>77</v>
      </c>
      <c r="J12" s="68" t="s">
        <v>70</v>
      </c>
      <c r="K12" s="56" t="s">
        <v>104</v>
      </c>
      <c r="L12" s="85" t="s">
        <v>52</v>
      </c>
      <c r="M12" s="69">
        <v>25491</v>
      </c>
    </row>
    <row r="13" spans="1:13" x14ac:dyDescent="0.25">
      <c r="C13" s="54">
        <v>42207</v>
      </c>
      <c r="D13" s="9">
        <v>12168</v>
      </c>
      <c r="E13" s="56" t="s">
        <v>227</v>
      </c>
      <c r="F13" s="56" t="s">
        <v>243</v>
      </c>
      <c r="G13" s="57" t="s">
        <v>78</v>
      </c>
      <c r="H13" s="68" t="s">
        <v>78</v>
      </c>
      <c r="I13" s="56" t="s">
        <v>96</v>
      </c>
      <c r="J13" s="68" t="s">
        <v>62</v>
      </c>
      <c r="K13" s="56" t="s">
        <v>92</v>
      </c>
      <c r="L13" s="85" t="s">
        <v>52</v>
      </c>
      <c r="M13" s="69">
        <v>9000</v>
      </c>
    </row>
    <row r="14" spans="1:13" ht="30" x14ac:dyDescent="0.25">
      <c r="C14" s="54">
        <v>42205</v>
      </c>
      <c r="D14" s="9">
        <v>16002</v>
      </c>
      <c r="E14" s="56" t="s">
        <v>227</v>
      </c>
      <c r="F14" s="56" t="s">
        <v>242</v>
      </c>
      <c r="G14" s="57" t="s">
        <v>78</v>
      </c>
      <c r="H14" s="68" t="s">
        <v>78</v>
      </c>
      <c r="I14" s="56" t="s">
        <v>96</v>
      </c>
      <c r="J14" s="68" t="s">
        <v>62</v>
      </c>
      <c r="K14" s="56" t="s">
        <v>208</v>
      </c>
      <c r="L14" s="85" t="s">
        <v>52</v>
      </c>
      <c r="M14" s="69">
        <v>89464.5</v>
      </c>
    </row>
    <row r="15" spans="1:13" ht="45" x14ac:dyDescent="0.25">
      <c r="C15" s="54">
        <v>42219</v>
      </c>
      <c r="D15" s="9">
        <v>16018</v>
      </c>
      <c r="E15" s="56" t="s">
        <v>119</v>
      </c>
      <c r="F15" s="56" t="s">
        <v>258</v>
      </c>
      <c r="G15" s="57" t="s">
        <v>213</v>
      </c>
      <c r="H15" s="68" t="s">
        <v>78</v>
      </c>
      <c r="I15" s="56" t="s">
        <v>77</v>
      </c>
      <c r="J15" s="68" t="s">
        <v>70</v>
      </c>
      <c r="K15" s="56" t="s">
        <v>104</v>
      </c>
      <c r="L15" s="85" t="s">
        <v>52</v>
      </c>
      <c r="M15" s="69">
        <v>2549.1000000000004</v>
      </c>
    </row>
    <row r="16" spans="1:13" ht="45" x14ac:dyDescent="0.25">
      <c r="C16" s="54">
        <v>42219</v>
      </c>
      <c r="D16" s="9">
        <v>16018</v>
      </c>
      <c r="E16" s="56" t="s">
        <v>227</v>
      </c>
      <c r="F16" s="56" t="s">
        <v>258</v>
      </c>
      <c r="G16" s="57" t="s">
        <v>98</v>
      </c>
      <c r="H16" s="68" t="s">
        <v>78</v>
      </c>
      <c r="I16" s="56" t="s">
        <v>77</v>
      </c>
      <c r="J16" s="68" t="s">
        <v>70</v>
      </c>
      <c r="K16" s="56" t="s">
        <v>104</v>
      </c>
      <c r="L16" s="85" t="s">
        <v>52</v>
      </c>
      <c r="M16" s="69">
        <v>22941.9</v>
      </c>
    </row>
    <row r="17" spans="3:13" x14ac:dyDescent="0.25">
      <c r="C17" s="29">
        <v>42277</v>
      </c>
      <c r="D17" s="33" t="s">
        <v>373</v>
      </c>
      <c r="E17" s="16" t="s">
        <v>119</v>
      </c>
      <c r="F17" s="16" t="s">
        <v>374</v>
      </c>
      <c r="G17" s="28" t="s">
        <v>98</v>
      </c>
      <c r="H17" s="28" t="s">
        <v>78</v>
      </c>
      <c r="I17" s="16" t="s">
        <v>104</v>
      </c>
      <c r="J17" s="28" t="s">
        <v>58</v>
      </c>
      <c r="K17" s="16" t="s">
        <v>104</v>
      </c>
      <c r="L17" s="28" t="s">
        <v>53</v>
      </c>
      <c r="M17" s="31">
        <v>5815.7</v>
      </c>
    </row>
    <row r="18" spans="3:13" x14ac:dyDescent="0.25">
      <c r="C18" s="12">
        <v>42292</v>
      </c>
      <c r="D18" s="32">
        <v>16071</v>
      </c>
      <c r="E18" s="13" t="s">
        <v>453</v>
      </c>
      <c r="F18" s="13" t="s">
        <v>452</v>
      </c>
      <c r="G18" s="14" t="s">
        <v>454</v>
      </c>
      <c r="H18" s="14" t="s">
        <v>78</v>
      </c>
      <c r="I18" s="13" t="s">
        <v>75</v>
      </c>
      <c r="J18" s="14" t="s">
        <v>62</v>
      </c>
      <c r="K18" s="13" t="s">
        <v>104</v>
      </c>
      <c r="L18" s="14" t="s">
        <v>197</v>
      </c>
      <c r="M18" s="15">
        <f>99949/2</f>
        <v>49974.5</v>
      </c>
    </row>
    <row r="19" spans="3:13" x14ac:dyDescent="0.25">
      <c r="C19" s="23">
        <v>42369</v>
      </c>
      <c r="D19" s="34" t="s">
        <v>373</v>
      </c>
      <c r="E19" s="24" t="s">
        <v>119</v>
      </c>
      <c r="F19" s="24" t="s">
        <v>374</v>
      </c>
      <c r="G19" s="25" t="s">
        <v>98</v>
      </c>
      <c r="H19" s="25" t="s">
        <v>78</v>
      </c>
      <c r="I19" s="24" t="s">
        <v>104</v>
      </c>
      <c r="J19" s="25" t="s">
        <v>58</v>
      </c>
      <c r="K19" s="24" t="s">
        <v>104</v>
      </c>
      <c r="L19" s="25" t="s">
        <v>53</v>
      </c>
      <c r="M19" s="26">
        <v>22055</v>
      </c>
    </row>
    <row r="20" spans="3:13" ht="30" x14ac:dyDescent="0.25">
      <c r="C20" s="23">
        <v>42397</v>
      </c>
      <c r="D20" s="34">
        <v>16127</v>
      </c>
      <c r="E20" s="24" t="s">
        <v>119</v>
      </c>
      <c r="F20" s="24" t="s">
        <v>603</v>
      </c>
      <c r="G20" s="25" t="s">
        <v>213</v>
      </c>
      <c r="H20" s="25" t="s">
        <v>78</v>
      </c>
      <c r="I20" s="24" t="s">
        <v>96</v>
      </c>
      <c r="J20" s="25" t="s">
        <v>62</v>
      </c>
      <c r="K20" s="24" t="s">
        <v>92</v>
      </c>
      <c r="L20" s="25" t="s">
        <v>52</v>
      </c>
      <c r="M20" s="26">
        <v>10000</v>
      </c>
    </row>
    <row r="21" spans="3:13" ht="30" x14ac:dyDescent="0.25">
      <c r="C21" s="23">
        <v>42397</v>
      </c>
      <c r="D21" s="34">
        <v>16127</v>
      </c>
      <c r="E21" s="24" t="s">
        <v>604</v>
      </c>
      <c r="F21" s="24" t="s">
        <v>603</v>
      </c>
      <c r="G21" s="25" t="s">
        <v>98</v>
      </c>
      <c r="H21" s="25" t="s">
        <v>78</v>
      </c>
      <c r="I21" s="24" t="s">
        <v>96</v>
      </c>
      <c r="J21" s="25" t="s">
        <v>62</v>
      </c>
      <c r="K21" s="24" t="s">
        <v>92</v>
      </c>
      <c r="L21" s="25" t="s">
        <v>52</v>
      </c>
      <c r="M21" s="26">
        <v>10000</v>
      </c>
    </row>
    <row r="22" spans="3:13" x14ac:dyDescent="0.25">
      <c r="C22" s="23">
        <v>42417</v>
      </c>
      <c r="D22" s="34">
        <v>16134</v>
      </c>
      <c r="E22" s="24" t="s">
        <v>119</v>
      </c>
      <c r="F22" s="24" t="s">
        <v>623</v>
      </c>
      <c r="G22" s="25" t="s">
        <v>213</v>
      </c>
      <c r="H22" s="25" t="s">
        <v>78</v>
      </c>
      <c r="I22" s="24" t="s">
        <v>92</v>
      </c>
      <c r="J22" s="25" t="s">
        <v>62</v>
      </c>
      <c r="K22" s="24" t="s">
        <v>104</v>
      </c>
      <c r="L22" s="25" t="s">
        <v>52</v>
      </c>
      <c r="M22" s="26">
        <f>15000/2</f>
        <v>7500</v>
      </c>
    </row>
    <row r="23" spans="3:13" ht="30" x14ac:dyDescent="0.25">
      <c r="C23" s="23">
        <v>42417</v>
      </c>
      <c r="D23" s="34">
        <v>16135</v>
      </c>
      <c r="E23" s="24" t="s">
        <v>119</v>
      </c>
      <c r="F23" s="24" t="s">
        <v>624</v>
      </c>
      <c r="G23" s="25" t="s">
        <v>213</v>
      </c>
      <c r="H23" s="25" t="s">
        <v>78</v>
      </c>
      <c r="I23" s="24" t="s">
        <v>92</v>
      </c>
      <c r="J23" s="25" t="s">
        <v>62</v>
      </c>
      <c r="K23" s="24" t="s">
        <v>104</v>
      </c>
      <c r="L23" s="25" t="s">
        <v>52</v>
      </c>
      <c r="M23" s="26">
        <f>10000*60%</f>
        <v>6000</v>
      </c>
    </row>
    <row r="24" spans="3:13" ht="30" x14ac:dyDescent="0.25">
      <c r="C24" s="23">
        <v>42417</v>
      </c>
      <c r="D24" s="34">
        <v>16136</v>
      </c>
      <c r="E24" s="24" t="s">
        <v>119</v>
      </c>
      <c r="F24" s="24" t="s">
        <v>625</v>
      </c>
      <c r="G24" s="25" t="s">
        <v>213</v>
      </c>
      <c r="H24" s="25" t="s">
        <v>78</v>
      </c>
      <c r="I24" s="24" t="s">
        <v>626</v>
      </c>
      <c r="J24" s="25" t="s">
        <v>69</v>
      </c>
      <c r="K24" s="24" t="s">
        <v>92</v>
      </c>
      <c r="L24" s="25" t="s">
        <v>52</v>
      </c>
      <c r="M24" s="26">
        <f>10000/2</f>
        <v>5000</v>
      </c>
    </row>
    <row r="25" spans="3:13" x14ac:dyDescent="0.25">
      <c r="C25" s="23">
        <v>42417</v>
      </c>
      <c r="D25" s="34">
        <v>16134</v>
      </c>
      <c r="E25" s="24" t="s">
        <v>622</v>
      </c>
      <c r="F25" s="24" t="s">
        <v>623</v>
      </c>
      <c r="G25" s="25" t="s">
        <v>98</v>
      </c>
      <c r="H25" s="25" t="s">
        <v>78</v>
      </c>
      <c r="I25" s="24" t="s">
        <v>92</v>
      </c>
      <c r="J25" s="25" t="s">
        <v>62</v>
      </c>
      <c r="K25" s="24" t="s">
        <v>104</v>
      </c>
      <c r="L25" s="25" t="s">
        <v>52</v>
      </c>
      <c r="M25" s="26">
        <f>15000/2</f>
        <v>7500</v>
      </c>
    </row>
    <row r="26" spans="3:13" ht="30" x14ac:dyDescent="0.25">
      <c r="C26" s="23">
        <v>42417</v>
      </c>
      <c r="D26" s="34">
        <v>16135</v>
      </c>
      <c r="E26" s="24" t="s">
        <v>604</v>
      </c>
      <c r="F26" s="24" t="s">
        <v>624</v>
      </c>
      <c r="G26" s="25" t="s">
        <v>98</v>
      </c>
      <c r="H26" s="25" t="s">
        <v>78</v>
      </c>
      <c r="I26" s="24" t="s">
        <v>92</v>
      </c>
      <c r="J26" s="25" t="s">
        <v>62</v>
      </c>
      <c r="K26" s="24" t="s">
        <v>104</v>
      </c>
      <c r="L26" s="25" t="s">
        <v>52</v>
      </c>
      <c r="M26" s="26">
        <f>10000*20%</f>
        <v>2000</v>
      </c>
    </row>
    <row r="27" spans="3:13" ht="30" x14ac:dyDescent="0.25">
      <c r="C27" s="23">
        <v>42417</v>
      </c>
      <c r="D27" s="34">
        <v>16135</v>
      </c>
      <c r="E27" s="24" t="s">
        <v>622</v>
      </c>
      <c r="F27" s="24" t="s">
        <v>624</v>
      </c>
      <c r="G27" s="25" t="s">
        <v>98</v>
      </c>
      <c r="H27" s="25" t="s">
        <v>78</v>
      </c>
      <c r="I27" s="24" t="s">
        <v>92</v>
      </c>
      <c r="J27" s="25" t="s">
        <v>62</v>
      </c>
      <c r="K27" s="24" t="s">
        <v>104</v>
      </c>
      <c r="L27" s="25" t="s">
        <v>52</v>
      </c>
      <c r="M27" s="26">
        <f>10000*20%</f>
        <v>2000</v>
      </c>
    </row>
    <row r="28" spans="3:13" ht="30" x14ac:dyDescent="0.25">
      <c r="C28" s="23">
        <v>42417</v>
      </c>
      <c r="D28" s="34">
        <v>16136</v>
      </c>
      <c r="E28" s="24" t="s">
        <v>622</v>
      </c>
      <c r="F28" s="24" t="s">
        <v>625</v>
      </c>
      <c r="G28" s="25" t="s">
        <v>98</v>
      </c>
      <c r="H28" s="25" t="s">
        <v>78</v>
      </c>
      <c r="I28" s="24" t="s">
        <v>626</v>
      </c>
      <c r="J28" s="25" t="s">
        <v>69</v>
      </c>
      <c r="K28" s="24" t="s">
        <v>92</v>
      </c>
      <c r="L28" s="25" t="s">
        <v>52</v>
      </c>
      <c r="M28" s="26">
        <f>10000/2</f>
        <v>5000</v>
      </c>
    </row>
    <row r="29" spans="3:13" x14ac:dyDescent="0.25">
      <c r="C29" s="23">
        <v>42417</v>
      </c>
      <c r="D29" s="34">
        <v>16137</v>
      </c>
      <c r="E29" s="24" t="s">
        <v>627</v>
      </c>
      <c r="F29" s="24" t="s">
        <v>628</v>
      </c>
      <c r="G29" s="25" t="s">
        <v>98</v>
      </c>
      <c r="H29" s="25" t="s">
        <v>78</v>
      </c>
      <c r="I29" s="24" t="s">
        <v>96</v>
      </c>
      <c r="J29" s="25" t="s">
        <v>62</v>
      </c>
      <c r="K29" s="24" t="s">
        <v>104</v>
      </c>
      <c r="L29" s="25" t="s">
        <v>52</v>
      </c>
      <c r="M29" s="26">
        <v>2431019</v>
      </c>
    </row>
    <row r="30" spans="3:13" x14ac:dyDescent="0.25">
      <c r="C30" s="23">
        <v>42460</v>
      </c>
      <c r="D30" s="34" t="s">
        <v>373</v>
      </c>
      <c r="E30" s="24" t="s">
        <v>119</v>
      </c>
      <c r="F30" s="24" t="s">
        <v>374</v>
      </c>
      <c r="G30" s="25" t="s">
        <v>98</v>
      </c>
      <c r="H30" s="25" t="s">
        <v>78</v>
      </c>
      <c r="I30" s="24" t="s">
        <v>104</v>
      </c>
      <c r="J30" s="25" t="s">
        <v>58</v>
      </c>
      <c r="K30" s="24" t="s">
        <v>104</v>
      </c>
      <c r="L30" s="25" t="s">
        <v>53</v>
      </c>
      <c r="M30" s="26">
        <v>15667.5</v>
      </c>
    </row>
    <row r="31" spans="3:13" x14ac:dyDescent="0.25">
      <c r="C31" s="29">
        <v>42551</v>
      </c>
      <c r="D31" s="34" t="s">
        <v>373</v>
      </c>
      <c r="E31" s="24" t="s">
        <v>119</v>
      </c>
      <c r="F31" s="24" t="s">
        <v>735</v>
      </c>
      <c r="G31" s="25" t="s">
        <v>98</v>
      </c>
      <c r="H31" s="25" t="s">
        <v>78</v>
      </c>
      <c r="I31" s="16" t="s">
        <v>104</v>
      </c>
      <c r="J31" s="28" t="s">
        <v>58</v>
      </c>
      <c r="K31" s="16" t="s">
        <v>104</v>
      </c>
      <c r="L31" s="25" t="s">
        <v>53</v>
      </c>
      <c r="M31" s="26">
        <v>37838.080000000002</v>
      </c>
    </row>
    <row r="32" spans="3:13" x14ac:dyDescent="0.25">
      <c r="C32" s="70"/>
      <c r="D32" s="71"/>
      <c r="E32" s="56"/>
      <c r="F32" s="56"/>
      <c r="G32" s="68"/>
      <c r="H32" s="68"/>
      <c r="I32" s="56"/>
      <c r="J32" s="68"/>
      <c r="K32" s="36"/>
      <c r="L32" s="68"/>
      <c r="M32" s="86"/>
    </row>
    <row r="33" spans="1:13" ht="21" x14ac:dyDescent="0.25">
      <c r="A33" s="58"/>
      <c r="B33" s="59" t="s">
        <v>18</v>
      </c>
      <c r="C33" s="60"/>
      <c r="D33" s="61"/>
      <c r="E33" s="62"/>
      <c r="F33" s="63"/>
      <c r="G33" s="64"/>
      <c r="H33" s="64"/>
      <c r="I33" s="65" t="s">
        <v>1</v>
      </c>
      <c r="J33" s="64">
        <f>COUNT(M35:M40)</f>
        <v>5</v>
      </c>
      <c r="K33" s="81"/>
      <c r="L33" s="66" t="s">
        <v>0</v>
      </c>
      <c r="M33" s="67">
        <f>SUM(M35:M40)</f>
        <v>90552.7</v>
      </c>
    </row>
    <row r="34" spans="1:13" ht="37.5" x14ac:dyDescent="0.25">
      <c r="A34" s="80"/>
      <c r="B34" s="80"/>
      <c r="C34" s="47" t="s">
        <v>2</v>
      </c>
      <c r="D34" s="48" t="s">
        <v>3</v>
      </c>
      <c r="E34" s="49" t="s">
        <v>4</v>
      </c>
      <c r="F34" s="50" t="s">
        <v>5</v>
      </c>
      <c r="G34" s="51" t="s">
        <v>6</v>
      </c>
      <c r="H34" s="51" t="s">
        <v>7</v>
      </c>
      <c r="I34" s="50" t="s">
        <v>8</v>
      </c>
      <c r="J34" s="50" t="s">
        <v>9</v>
      </c>
      <c r="K34" s="50" t="s">
        <v>10</v>
      </c>
      <c r="L34" s="51" t="s">
        <v>11</v>
      </c>
      <c r="M34" s="52" t="s">
        <v>12</v>
      </c>
    </row>
    <row r="35" spans="1:13" x14ac:dyDescent="0.25">
      <c r="C35" s="29">
        <v>42277</v>
      </c>
      <c r="D35" s="33" t="s">
        <v>371</v>
      </c>
      <c r="E35" s="16" t="s">
        <v>114</v>
      </c>
      <c r="F35" s="16" t="s">
        <v>18</v>
      </c>
      <c r="G35" s="28" t="s">
        <v>372</v>
      </c>
      <c r="H35" s="28" t="s">
        <v>78</v>
      </c>
      <c r="I35" s="16" t="s">
        <v>104</v>
      </c>
      <c r="J35" s="28" t="s">
        <v>58</v>
      </c>
      <c r="K35" s="16" t="s">
        <v>104</v>
      </c>
      <c r="L35" s="28" t="s">
        <v>53</v>
      </c>
      <c r="M35" s="31">
        <v>14665.199999999999</v>
      </c>
    </row>
    <row r="36" spans="1:13" x14ac:dyDescent="0.25">
      <c r="C36" s="23">
        <v>42369</v>
      </c>
      <c r="D36" s="34" t="s">
        <v>371</v>
      </c>
      <c r="E36" s="24" t="s">
        <v>114</v>
      </c>
      <c r="F36" s="24" t="s">
        <v>18</v>
      </c>
      <c r="G36" s="25" t="s">
        <v>372</v>
      </c>
      <c r="H36" s="25" t="s">
        <v>78</v>
      </c>
      <c r="I36" s="24" t="s">
        <v>104</v>
      </c>
      <c r="J36" s="25" t="s">
        <v>58</v>
      </c>
      <c r="K36" s="24" t="s">
        <v>104</v>
      </c>
      <c r="L36" s="25" t="s">
        <v>53</v>
      </c>
      <c r="M36" s="26">
        <v>5190</v>
      </c>
    </row>
    <row r="37" spans="1:13" ht="30" x14ac:dyDescent="0.25">
      <c r="C37" s="29">
        <v>42396</v>
      </c>
      <c r="D37" s="27">
        <v>14126</v>
      </c>
      <c r="E37" s="24" t="s">
        <v>114</v>
      </c>
      <c r="F37" s="24" t="s">
        <v>216</v>
      </c>
      <c r="G37" s="25" t="s">
        <v>372</v>
      </c>
      <c r="H37" s="25" t="s">
        <v>78</v>
      </c>
      <c r="I37" s="24" t="s">
        <v>467</v>
      </c>
      <c r="J37" s="25" t="s">
        <v>62</v>
      </c>
      <c r="K37" s="24" t="s">
        <v>602</v>
      </c>
      <c r="L37" s="25" t="s">
        <v>53</v>
      </c>
      <c r="M37" s="26">
        <v>39100</v>
      </c>
    </row>
    <row r="38" spans="1:13" x14ac:dyDescent="0.25">
      <c r="C38" s="23">
        <v>42460</v>
      </c>
      <c r="D38" s="34" t="s">
        <v>371</v>
      </c>
      <c r="E38" s="24" t="s">
        <v>114</v>
      </c>
      <c r="F38" s="24" t="s">
        <v>18</v>
      </c>
      <c r="G38" s="25" t="s">
        <v>372</v>
      </c>
      <c r="H38" s="25" t="s">
        <v>78</v>
      </c>
      <c r="I38" s="24" t="s">
        <v>104</v>
      </c>
      <c r="J38" s="25" t="s">
        <v>58</v>
      </c>
      <c r="K38" s="24" t="s">
        <v>104</v>
      </c>
      <c r="L38" s="25" t="s">
        <v>53</v>
      </c>
      <c r="M38" s="26">
        <v>21200</v>
      </c>
    </row>
    <row r="39" spans="1:13" x14ac:dyDescent="0.25">
      <c r="C39" s="29">
        <v>42551</v>
      </c>
      <c r="D39" s="34" t="s">
        <v>371</v>
      </c>
      <c r="E39" s="24" t="s">
        <v>114</v>
      </c>
      <c r="F39" s="24" t="s">
        <v>735</v>
      </c>
      <c r="G39" s="25" t="s">
        <v>372</v>
      </c>
      <c r="H39" s="25" t="s">
        <v>78</v>
      </c>
      <c r="I39" s="16" t="s">
        <v>104</v>
      </c>
      <c r="J39" s="28" t="s">
        <v>58</v>
      </c>
      <c r="K39" s="16" t="s">
        <v>104</v>
      </c>
      <c r="L39" s="25" t="s">
        <v>53</v>
      </c>
      <c r="M39" s="26">
        <v>10397.5</v>
      </c>
    </row>
    <row r="40" spans="1:13" x14ac:dyDescent="0.25">
      <c r="C40" s="70"/>
      <c r="D40" s="71"/>
      <c r="E40" s="72"/>
      <c r="F40" s="56"/>
      <c r="G40" s="68"/>
      <c r="H40" s="68"/>
      <c r="I40" s="56"/>
      <c r="J40" s="68"/>
      <c r="K40" s="36"/>
      <c r="L40" s="68"/>
      <c r="M40" s="86"/>
    </row>
    <row r="41" spans="1:13" ht="21" x14ac:dyDescent="0.25">
      <c r="A41" s="37" t="s">
        <v>25</v>
      </c>
      <c r="B41" s="37"/>
      <c r="C41" s="38"/>
      <c r="D41" s="39"/>
      <c r="E41" s="40"/>
      <c r="F41" s="41"/>
      <c r="G41" s="42"/>
      <c r="H41" s="42"/>
      <c r="I41" s="43" t="s">
        <v>1</v>
      </c>
      <c r="J41" s="42">
        <f>J42+J50</f>
        <v>8</v>
      </c>
      <c r="K41" s="83"/>
      <c r="L41" s="44" t="s">
        <v>0</v>
      </c>
      <c r="M41" s="45">
        <f>M42+M50</f>
        <v>2731696</v>
      </c>
    </row>
    <row r="42" spans="1:13" ht="21" x14ac:dyDescent="0.25">
      <c r="B42" s="59" t="s">
        <v>25</v>
      </c>
      <c r="C42" s="60"/>
      <c r="D42" s="61"/>
      <c r="E42" s="62"/>
      <c r="F42" s="63"/>
      <c r="G42" s="64"/>
      <c r="H42" s="64"/>
      <c r="I42" s="65" t="s">
        <v>1</v>
      </c>
      <c r="J42" s="64">
        <f>COUNT(M44:M49)</f>
        <v>5</v>
      </c>
      <c r="K42" s="81"/>
      <c r="L42" s="66" t="s">
        <v>0</v>
      </c>
      <c r="M42" s="67">
        <f>SUM(M44:M49)</f>
        <v>2630196</v>
      </c>
    </row>
    <row r="43" spans="1:13" ht="37.5" x14ac:dyDescent="0.25">
      <c r="A43" s="80"/>
      <c r="B43" s="80"/>
      <c r="C43" s="47" t="s">
        <v>2</v>
      </c>
      <c r="D43" s="48" t="s">
        <v>3</v>
      </c>
      <c r="E43" s="49" t="s">
        <v>4</v>
      </c>
      <c r="F43" s="50" t="s">
        <v>5</v>
      </c>
      <c r="G43" s="51" t="s">
        <v>6</v>
      </c>
      <c r="H43" s="51" t="s">
        <v>7</v>
      </c>
      <c r="I43" s="50" t="s">
        <v>8</v>
      </c>
      <c r="J43" s="50" t="s">
        <v>9</v>
      </c>
      <c r="K43" s="50" t="s">
        <v>10</v>
      </c>
      <c r="L43" s="51" t="s">
        <v>11</v>
      </c>
      <c r="M43" s="52" t="s">
        <v>12</v>
      </c>
    </row>
    <row r="44" spans="1:13" ht="30" x14ac:dyDescent="0.25">
      <c r="C44" s="54">
        <v>42243</v>
      </c>
      <c r="D44" s="9">
        <v>7169</v>
      </c>
      <c r="E44" s="56" t="s">
        <v>141</v>
      </c>
      <c r="F44" s="56" t="s">
        <v>284</v>
      </c>
      <c r="G44" s="57" t="s">
        <v>142</v>
      </c>
      <c r="H44" s="68" t="s">
        <v>142</v>
      </c>
      <c r="I44" s="56" t="s">
        <v>143</v>
      </c>
      <c r="J44" s="68" t="s">
        <v>55</v>
      </c>
      <c r="K44" s="56" t="s">
        <v>104</v>
      </c>
      <c r="L44" s="85" t="s">
        <v>52</v>
      </c>
      <c r="M44" s="69">
        <v>534027</v>
      </c>
    </row>
    <row r="45" spans="1:13" ht="30" x14ac:dyDescent="0.25">
      <c r="C45" s="54">
        <v>42243</v>
      </c>
      <c r="D45" s="9">
        <v>7169</v>
      </c>
      <c r="E45" s="56" t="s">
        <v>141</v>
      </c>
      <c r="F45" s="56" t="s">
        <v>285</v>
      </c>
      <c r="G45" s="57" t="s">
        <v>142</v>
      </c>
      <c r="H45" s="68" t="s">
        <v>142</v>
      </c>
      <c r="I45" s="56" t="s">
        <v>143</v>
      </c>
      <c r="J45" s="68" t="s">
        <v>55</v>
      </c>
      <c r="K45" s="56" t="s">
        <v>104</v>
      </c>
      <c r="L45" s="85" t="s">
        <v>52</v>
      </c>
      <c r="M45" s="69">
        <v>561413</v>
      </c>
    </row>
    <row r="46" spans="1:13" ht="45" x14ac:dyDescent="0.25">
      <c r="C46" s="29">
        <v>42268</v>
      </c>
      <c r="D46" s="33">
        <v>16046</v>
      </c>
      <c r="E46" s="16" t="s">
        <v>322</v>
      </c>
      <c r="F46" s="16" t="s">
        <v>323</v>
      </c>
      <c r="G46" s="28" t="s">
        <v>324</v>
      </c>
      <c r="H46" s="28" t="s">
        <v>142</v>
      </c>
      <c r="I46" s="16" t="s">
        <v>75</v>
      </c>
      <c r="J46" s="28" t="s">
        <v>62</v>
      </c>
      <c r="K46" s="16" t="s">
        <v>104</v>
      </c>
      <c r="L46" s="28" t="s">
        <v>197</v>
      </c>
      <c r="M46" s="31">
        <v>275000</v>
      </c>
    </row>
    <row r="47" spans="1:13" ht="30" x14ac:dyDescent="0.25">
      <c r="C47" s="29">
        <v>42404</v>
      </c>
      <c r="D47" s="33">
        <v>7169</v>
      </c>
      <c r="E47" s="16" t="s">
        <v>141</v>
      </c>
      <c r="F47" s="16" t="s">
        <v>614</v>
      </c>
      <c r="G47" s="28" t="s">
        <v>142</v>
      </c>
      <c r="H47" s="28" t="s">
        <v>142</v>
      </c>
      <c r="I47" s="16" t="s">
        <v>143</v>
      </c>
      <c r="J47" s="28" t="s">
        <v>55</v>
      </c>
      <c r="K47" s="16" t="s">
        <v>104</v>
      </c>
      <c r="L47" s="28" t="s">
        <v>52</v>
      </c>
      <c r="M47" s="26">
        <v>616185</v>
      </c>
    </row>
    <row r="48" spans="1:13" ht="30" x14ac:dyDescent="0.25">
      <c r="C48" s="29">
        <v>42404</v>
      </c>
      <c r="D48" s="33">
        <v>7169</v>
      </c>
      <c r="E48" s="16" t="s">
        <v>141</v>
      </c>
      <c r="F48" s="16" t="s">
        <v>615</v>
      </c>
      <c r="G48" s="28" t="s">
        <v>142</v>
      </c>
      <c r="H48" s="28" t="s">
        <v>142</v>
      </c>
      <c r="I48" s="16" t="s">
        <v>143</v>
      </c>
      <c r="J48" s="28" t="s">
        <v>55</v>
      </c>
      <c r="K48" s="16" t="s">
        <v>104</v>
      </c>
      <c r="L48" s="28" t="s">
        <v>52</v>
      </c>
      <c r="M48" s="26">
        <v>643571</v>
      </c>
    </row>
    <row r="49" spans="1:13" x14ac:dyDescent="0.25">
      <c r="C49" s="70"/>
      <c r="D49" s="82"/>
      <c r="E49" s="72"/>
      <c r="F49" s="56"/>
      <c r="G49" s="68"/>
      <c r="H49" s="68"/>
      <c r="I49" s="56"/>
      <c r="J49" s="68"/>
      <c r="K49" s="36"/>
      <c r="L49" s="68"/>
      <c r="M49" s="86"/>
    </row>
    <row r="50" spans="1:13" ht="21" x14ac:dyDescent="0.25">
      <c r="A50" s="58"/>
      <c r="B50" s="59" t="s">
        <v>21</v>
      </c>
      <c r="C50" s="60"/>
      <c r="D50" s="61"/>
      <c r="E50" s="62"/>
      <c r="F50" s="63"/>
      <c r="G50" s="64"/>
      <c r="H50" s="64"/>
      <c r="I50" s="65" t="s">
        <v>1</v>
      </c>
      <c r="J50" s="64">
        <f>COUNT(M52:M55)</f>
        <v>3</v>
      </c>
      <c r="K50" s="81"/>
      <c r="L50" s="66" t="s">
        <v>0</v>
      </c>
      <c r="M50" s="67">
        <f>SUM(M52:M55)</f>
        <v>101500</v>
      </c>
    </row>
    <row r="51" spans="1:13" ht="37.5" x14ac:dyDescent="0.25">
      <c r="A51" s="80"/>
      <c r="B51" s="80"/>
      <c r="C51" s="47" t="s">
        <v>2</v>
      </c>
      <c r="D51" s="48" t="s">
        <v>3</v>
      </c>
      <c r="E51" s="49" t="s">
        <v>4</v>
      </c>
      <c r="F51" s="50" t="s">
        <v>5</v>
      </c>
      <c r="G51" s="51" t="s">
        <v>6</v>
      </c>
      <c r="H51" s="51" t="s">
        <v>7</v>
      </c>
      <c r="I51" s="50" t="s">
        <v>8</v>
      </c>
      <c r="J51" s="50" t="s">
        <v>9</v>
      </c>
      <c r="K51" s="50" t="s">
        <v>10</v>
      </c>
      <c r="L51" s="51" t="s">
        <v>11</v>
      </c>
      <c r="M51" s="52" t="s">
        <v>12</v>
      </c>
    </row>
    <row r="52" spans="1:13" x14ac:dyDescent="0.25">
      <c r="C52" s="12">
        <v>42282</v>
      </c>
      <c r="D52" s="32">
        <v>16069</v>
      </c>
      <c r="E52" s="13" t="s">
        <v>322</v>
      </c>
      <c r="F52" s="13" t="s">
        <v>440</v>
      </c>
      <c r="G52" s="14" t="s">
        <v>441</v>
      </c>
      <c r="H52" s="14" t="s">
        <v>142</v>
      </c>
      <c r="I52" s="13" t="s">
        <v>75</v>
      </c>
      <c r="J52" s="14" t="s">
        <v>62</v>
      </c>
      <c r="K52" s="13" t="s">
        <v>104</v>
      </c>
      <c r="L52" s="14" t="s">
        <v>198</v>
      </c>
      <c r="M52" s="15">
        <v>27000</v>
      </c>
    </row>
    <row r="53" spans="1:13" x14ac:dyDescent="0.25">
      <c r="C53" s="12">
        <v>42306</v>
      </c>
      <c r="D53" s="32">
        <v>16079</v>
      </c>
      <c r="E53" s="13" t="s">
        <v>322</v>
      </c>
      <c r="F53" s="13" t="s">
        <v>465</v>
      </c>
      <c r="G53" s="14" t="s">
        <v>441</v>
      </c>
      <c r="H53" s="14" t="s">
        <v>142</v>
      </c>
      <c r="I53" s="13" t="s">
        <v>75</v>
      </c>
      <c r="J53" s="14" t="s">
        <v>62</v>
      </c>
      <c r="K53" s="13" t="s">
        <v>104</v>
      </c>
      <c r="L53" s="14" t="s">
        <v>198</v>
      </c>
      <c r="M53" s="15">
        <v>22500</v>
      </c>
    </row>
    <row r="54" spans="1:13" ht="45" x14ac:dyDescent="0.25">
      <c r="C54" s="23">
        <v>42424</v>
      </c>
      <c r="D54" s="34">
        <v>16141</v>
      </c>
      <c r="E54" s="24" t="s">
        <v>322</v>
      </c>
      <c r="F54" s="24" t="s">
        <v>636</v>
      </c>
      <c r="G54" s="25" t="s">
        <v>441</v>
      </c>
      <c r="H54" s="25" t="s">
        <v>142</v>
      </c>
      <c r="I54" s="24" t="s">
        <v>637</v>
      </c>
      <c r="J54" s="25" t="s">
        <v>69</v>
      </c>
      <c r="K54" s="24" t="s">
        <v>638</v>
      </c>
      <c r="L54" s="25" t="s">
        <v>198</v>
      </c>
      <c r="M54" s="26">
        <v>52000</v>
      </c>
    </row>
    <row r="55" spans="1:13" x14ac:dyDescent="0.25">
      <c r="C55" s="70"/>
      <c r="D55" s="71"/>
      <c r="E55" s="72"/>
      <c r="F55" s="56"/>
      <c r="G55" s="68"/>
      <c r="H55" s="68"/>
      <c r="I55" s="56"/>
      <c r="J55" s="68"/>
      <c r="K55" s="36"/>
      <c r="L55" s="68"/>
      <c r="M55" s="84"/>
    </row>
    <row r="56" spans="1:13" ht="21" x14ac:dyDescent="0.25">
      <c r="A56" s="37" t="s">
        <v>26</v>
      </c>
      <c r="B56" s="37"/>
      <c r="C56" s="38"/>
      <c r="D56" s="39"/>
      <c r="E56" s="40"/>
      <c r="F56" s="41"/>
      <c r="G56" s="42"/>
      <c r="H56" s="42"/>
      <c r="I56" s="43" t="s">
        <v>1</v>
      </c>
      <c r="J56" s="42">
        <f>J57+J88+J92+J96</f>
        <v>35</v>
      </c>
      <c r="K56" s="83"/>
      <c r="L56" s="44" t="s">
        <v>0</v>
      </c>
      <c r="M56" s="45">
        <f>M57+M88+M92+M96</f>
        <v>2735743.67</v>
      </c>
    </row>
    <row r="57" spans="1:13" ht="21" x14ac:dyDescent="0.25">
      <c r="B57" s="59" t="s">
        <v>26</v>
      </c>
      <c r="C57" s="60"/>
      <c r="D57" s="61"/>
      <c r="E57" s="62"/>
      <c r="F57" s="63"/>
      <c r="G57" s="64"/>
      <c r="H57" s="64"/>
      <c r="I57" s="65" t="s">
        <v>1</v>
      </c>
      <c r="J57" s="64">
        <f>COUNT(M59:M87)</f>
        <v>28</v>
      </c>
      <c r="K57" s="81"/>
      <c r="L57" s="66" t="s">
        <v>0</v>
      </c>
      <c r="M57" s="67">
        <f>SUM(M59:M87)</f>
        <v>1310063.4000000001</v>
      </c>
    </row>
    <row r="58" spans="1:13" ht="37.5" x14ac:dyDescent="0.25">
      <c r="A58" s="80"/>
      <c r="B58" s="80"/>
      <c r="C58" s="47" t="s">
        <v>2</v>
      </c>
      <c r="D58" s="48" t="s">
        <v>3</v>
      </c>
      <c r="E58" s="49" t="s">
        <v>4</v>
      </c>
      <c r="F58" s="50" t="s">
        <v>5</v>
      </c>
      <c r="G58" s="51" t="s">
        <v>6</v>
      </c>
      <c r="H58" s="51" t="s">
        <v>7</v>
      </c>
      <c r="I58" s="50" t="s">
        <v>8</v>
      </c>
      <c r="J58" s="50" t="s">
        <v>9</v>
      </c>
      <c r="K58" s="50" t="s">
        <v>10</v>
      </c>
      <c r="L58" s="51" t="s">
        <v>11</v>
      </c>
      <c r="M58" s="52" t="s">
        <v>12</v>
      </c>
    </row>
    <row r="59" spans="1:13" ht="30" x14ac:dyDescent="0.25">
      <c r="C59" s="54">
        <v>42193</v>
      </c>
      <c r="D59" s="9">
        <v>2086</v>
      </c>
      <c r="E59" s="56" t="s">
        <v>120</v>
      </c>
      <c r="F59" s="56" t="s">
        <v>233</v>
      </c>
      <c r="G59" s="57" t="s">
        <v>93</v>
      </c>
      <c r="H59" s="68" t="s">
        <v>83</v>
      </c>
      <c r="I59" s="56" t="s">
        <v>111</v>
      </c>
      <c r="J59" s="68" t="s">
        <v>58</v>
      </c>
      <c r="K59" s="56" t="s">
        <v>104</v>
      </c>
      <c r="L59" s="85" t="s">
        <v>52</v>
      </c>
      <c r="M59" s="69">
        <v>12086</v>
      </c>
    </row>
    <row r="60" spans="1:13" ht="45" x14ac:dyDescent="0.25">
      <c r="C60" s="54">
        <v>42193</v>
      </c>
      <c r="D60" s="9">
        <v>2086</v>
      </c>
      <c r="E60" s="56" t="s">
        <v>120</v>
      </c>
      <c r="F60" s="56" t="s">
        <v>234</v>
      </c>
      <c r="G60" s="57" t="s">
        <v>93</v>
      </c>
      <c r="H60" s="68" t="s">
        <v>83</v>
      </c>
      <c r="I60" s="56" t="s">
        <v>111</v>
      </c>
      <c r="J60" s="68" t="s">
        <v>58</v>
      </c>
      <c r="K60" s="56" t="s">
        <v>104</v>
      </c>
      <c r="L60" s="85" t="s">
        <v>52</v>
      </c>
      <c r="M60" s="69">
        <v>17816</v>
      </c>
    </row>
    <row r="61" spans="1:13" x14ac:dyDescent="0.25">
      <c r="C61" s="29">
        <v>42277</v>
      </c>
      <c r="D61" s="33" t="s">
        <v>375</v>
      </c>
      <c r="E61" s="16" t="s">
        <v>112</v>
      </c>
      <c r="F61" s="16" t="s">
        <v>376</v>
      </c>
      <c r="G61" s="28" t="s">
        <v>377</v>
      </c>
      <c r="H61" s="28" t="s">
        <v>83</v>
      </c>
      <c r="I61" s="16" t="s">
        <v>104</v>
      </c>
      <c r="J61" s="28" t="s">
        <v>58</v>
      </c>
      <c r="K61" s="16" t="s">
        <v>104</v>
      </c>
      <c r="L61" s="28" t="s">
        <v>53</v>
      </c>
      <c r="M61" s="31">
        <v>3618</v>
      </c>
    </row>
    <row r="62" spans="1:13" ht="30" x14ac:dyDescent="0.25">
      <c r="C62" s="29">
        <v>42255</v>
      </c>
      <c r="D62" s="33">
        <v>2086</v>
      </c>
      <c r="E62" s="16" t="s">
        <v>120</v>
      </c>
      <c r="F62" s="16" t="s">
        <v>309</v>
      </c>
      <c r="G62" s="28" t="s">
        <v>93</v>
      </c>
      <c r="H62" s="28" t="s">
        <v>83</v>
      </c>
      <c r="I62" s="16" t="s">
        <v>208</v>
      </c>
      <c r="J62" s="28" t="s">
        <v>58</v>
      </c>
      <c r="K62" s="16" t="s">
        <v>104</v>
      </c>
      <c r="L62" s="28" t="s">
        <v>52</v>
      </c>
      <c r="M62" s="31">
        <v>142029</v>
      </c>
    </row>
    <row r="63" spans="1:13" x14ac:dyDescent="0.25">
      <c r="C63" s="29">
        <v>42277</v>
      </c>
      <c r="D63" s="33" t="s">
        <v>378</v>
      </c>
      <c r="E63" s="16" t="s">
        <v>120</v>
      </c>
      <c r="F63" s="16" t="s">
        <v>379</v>
      </c>
      <c r="G63" s="28" t="s">
        <v>93</v>
      </c>
      <c r="H63" s="28" t="s">
        <v>83</v>
      </c>
      <c r="I63" s="16" t="s">
        <v>104</v>
      </c>
      <c r="J63" s="28" t="s">
        <v>58</v>
      </c>
      <c r="K63" s="16" t="s">
        <v>104</v>
      </c>
      <c r="L63" s="28" t="s">
        <v>53</v>
      </c>
      <c r="M63" s="31">
        <v>29902</v>
      </c>
    </row>
    <row r="64" spans="1:13" x14ac:dyDescent="0.25">
      <c r="C64" s="29">
        <v>42277</v>
      </c>
      <c r="D64" s="33" t="s">
        <v>380</v>
      </c>
      <c r="E64" s="16" t="s">
        <v>159</v>
      </c>
      <c r="F64" s="16" t="s">
        <v>381</v>
      </c>
      <c r="G64" s="28" t="s">
        <v>382</v>
      </c>
      <c r="H64" s="28" t="s">
        <v>83</v>
      </c>
      <c r="I64" s="16" t="s">
        <v>104</v>
      </c>
      <c r="J64" s="28" t="s">
        <v>58</v>
      </c>
      <c r="K64" s="16" t="s">
        <v>104</v>
      </c>
      <c r="L64" s="28" t="s">
        <v>53</v>
      </c>
      <c r="M64" s="31">
        <v>3338</v>
      </c>
    </row>
    <row r="65" spans="3:13" x14ac:dyDescent="0.25">
      <c r="C65" s="29">
        <v>42277</v>
      </c>
      <c r="D65" s="33" t="s">
        <v>383</v>
      </c>
      <c r="E65" s="16" t="s">
        <v>157</v>
      </c>
      <c r="F65" s="16" t="s">
        <v>384</v>
      </c>
      <c r="G65" s="28" t="s">
        <v>385</v>
      </c>
      <c r="H65" s="28" t="s">
        <v>83</v>
      </c>
      <c r="I65" s="16" t="s">
        <v>104</v>
      </c>
      <c r="J65" s="28" t="s">
        <v>58</v>
      </c>
      <c r="K65" s="16" t="s">
        <v>104</v>
      </c>
      <c r="L65" s="28" t="s">
        <v>53</v>
      </c>
      <c r="M65" s="31">
        <v>43604.520000000004</v>
      </c>
    </row>
    <row r="66" spans="3:13" x14ac:dyDescent="0.25">
      <c r="C66" s="29">
        <v>42277</v>
      </c>
      <c r="D66" s="33" t="s">
        <v>388</v>
      </c>
      <c r="E66" s="16" t="s">
        <v>124</v>
      </c>
      <c r="F66" s="16" t="s">
        <v>389</v>
      </c>
      <c r="G66" s="28" t="s">
        <v>390</v>
      </c>
      <c r="H66" s="28" t="s">
        <v>391</v>
      </c>
      <c r="I66" s="16" t="s">
        <v>104</v>
      </c>
      <c r="J66" s="28" t="s">
        <v>58</v>
      </c>
      <c r="K66" s="16" t="s">
        <v>104</v>
      </c>
      <c r="L66" s="28" t="s">
        <v>53</v>
      </c>
      <c r="M66" s="31">
        <v>122191.82</v>
      </c>
    </row>
    <row r="67" spans="3:13" x14ac:dyDescent="0.25">
      <c r="C67" s="12">
        <v>42291</v>
      </c>
      <c r="D67" s="32">
        <v>16075</v>
      </c>
      <c r="E67" s="13" t="s">
        <v>147</v>
      </c>
      <c r="F67" s="13" t="s">
        <v>148</v>
      </c>
      <c r="G67" s="14" t="s">
        <v>83</v>
      </c>
      <c r="H67" s="14" t="s">
        <v>83</v>
      </c>
      <c r="I67" s="13" t="s">
        <v>449</v>
      </c>
      <c r="J67" s="14" t="s">
        <v>70</v>
      </c>
      <c r="K67" s="13" t="s">
        <v>104</v>
      </c>
      <c r="L67" s="14" t="s">
        <v>53</v>
      </c>
      <c r="M67" s="15">
        <v>3000</v>
      </c>
    </row>
    <row r="68" spans="3:13" x14ac:dyDescent="0.25">
      <c r="C68" s="23">
        <v>42369</v>
      </c>
      <c r="D68" s="34" t="s">
        <v>375</v>
      </c>
      <c r="E68" s="24" t="s">
        <v>112</v>
      </c>
      <c r="F68" s="24" t="s">
        <v>376</v>
      </c>
      <c r="G68" s="25" t="s">
        <v>377</v>
      </c>
      <c r="H68" s="25" t="s">
        <v>83</v>
      </c>
      <c r="I68" s="24" t="s">
        <v>104</v>
      </c>
      <c r="J68" s="25" t="s">
        <v>58</v>
      </c>
      <c r="K68" s="24" t="s">
        <v>104</v>
      </c>
      <c r="L68" s="25" t="s">
        <v>53</v>
      </c>
      <c r="M68" s="26">
        <v>8956.4599999999991</v>
      </c>
    </row>
    <row r="69" spans="3:13" ht="30" x14ac:dyDescent="0.25">
      <c r="C69" s="23">
        <v>42354</v>
      </c>
      <c r="D69" s="34">
        <v>15123</v>
      </c>
      <c r="E69" s="24" t="s">
        <v>130</v>
      </c>
      <c r="F69" s="24" t="s">
        <v>565</v>
      </c>
      <c r="G69" s="25" t="s">
        <v>468</v>
      </c>
      <c r="H69" s="25" t="s">
        <v>83</v>
      </c>
      <c r="I69" s="24" t="s">
        <v>96</v>
      </c>
      <c r="J69" s="25" t="s">
        <v>62</v>
      </c>
      <c r="K69" s="24" t="s">
        <v>89</v>
      </c>
      <c r="L69" s="25" t="s">
        <v>52</v>
      </c>
      <c r="M69" s="26">
        <f>158473*60%</f>
        <v>95083.8</v>
      </c>
    </row>
    <row r="70" spans="3:13" x14ac:dyDescent="0.25">
      <c r="C70" s="23">
        <v>42369</v>
      </c>
      <c r="D70" s="34" t="s">
        <v>380</v>
      </c>
      <c r="E70" s="24" t="s">
        <v>159</v>
      </c>
      <c r="F70" s="24" t="s">
        <v>381</v>
      </c>
      <c r="G70" s="25" t="s">
        <v>382</v>
      </c>
      <c r="H70" s="25" t="s">
        <v>83</v>
      </c>
      <c r="I70" s="24" t="s">
        <v>104</v>
      </c>
      <c r="J70" s="25" t="s">
        <v>58</v>
      </c>
      <c r="K70" s="24" t="s">
        <v>104</v>
      </c>
      <c r="L70" s="25" t="s">
        <v>53</v>
      </c>
      <c r="M70" s="26">
        <v>5114.5</v>
      </c>
    </row>
    <row r="71" spans="3:13" x14ac:dyDescent="0.25">
      <c r="C71" s="23">
        <v>42369</v>
      </c>
      <c r="D71" s="34" t="s">
        <v>388</v>
      </c>
      <c r="E71" s="24" t="s">
        <v>124</v>
      </c>
      <c r="F71" s="24" t="s">
        <v>389</v>
      </c>
      <c r="G71" s="25" t="s">
        <v>390</v>
      </c>
      <c r="H71" s="25" t="s">
        <v>391</v>
      </c>
      <c r="I71" s="24" t="s">
        <v>104</v>
      </c>
      <c r="J71" s="25" t="s">
        <v>58</v>
      </c>
      <c r="K71" s="24" t="s">
        <v>104</v>
      </c>
      <c r="L71" s="25" t="s">
        <v>53</v>
      </c>
      <c r="M71" s="26">
        <v>156035.06</v>
      </c>
    </row>
    <row r="72" spans="3:13" x14ac:dyDescent="0.25">
      <c r="C72" s="23">
        <v>42460</v>
      </c>
      <c r="D72" s="34" t="s">
        <v>375</v>
      </c>
      <c r="E72" s="24" t="s">
        <v>112</v>
      </c>
      <c r="F72" s="24" t="s">
        <v>376</v>
      </c>
      <c r="G72" s="25" t="s">
        <v>377</v>
      </c>
      <c r="H72" s="25" t="s">
        <v>83</v>
      </c>
      <c r="I72" s="24" t="s">
        <v>104</v>
      </c>
      <c r="J72" s="25" t="s">
        <v>58</v>
      </c>
      <c r="K72" s="24" t="s">
        <v>104</v>
      </c>
      <c r="L72" s="25" t="s">
        <v>53</v>
      </c>
      <c r="M72" s="26">
        <v>18258.8</v>
      </c>
    </row>
    <row r="73" spans="3:13" ht="45" x14ac:dyDescent="0.25">
      <c r="C73" s="23">
        <v>42451</v>
      </c>
      <c r="D73" s="34">
        <v>16154</v>
      </c>
      <c r="E73" s="24" t="s">
        <v>158</v>
      </c>
      <c r="F73" s="24" t="s">
        <v>657</v>
      </c>
      <c r="G73" s="25" t="s">
        <v>93</v>
      </c>
      <c r="H73" s="25" t="s">
        <v>83</v>
      </c>
      <c r="I73" s="24" t="s">
        <v>96</v>
      </c>
      <c r="J73" s="25" t="s">
        <v>62</v>
      </c>
      <c r="K73" s="24" t="s">
        <v>77</v>
      </c>
      <c r="L73" s="25" t="s">
        <v>52</v>
      </c>
      <c r="M73" s="26">
        <v>1066</v>
      </c>
    </row>
    <row r="74" spans="3:13" x14ac:dyDescent="0.25">
      <c r="C74" s="23">
        <v>42460</v>
      </c>
      <c r="D74" s="34" t="s">
        <v>380</v>
      </c>
      <c r="E74" s="24" t="s">
        <v>159</v>
      </c>
      <c r="F74" s="24" t="s">
        <v>381</v>
      </c>
      <c r="G74" s="25" t="s">
        <v>382</v>
      </c>
      <c r="H74" s="25" t="s">
        <v>83</v>
      </c>
      <c r="I74" s="24" t="s">
        <v>104</v>
      </c>
      <c r="J74" s="25" t="s">
        <v>58</v>
      </c>
      <c r="K74" s="24" t="s">
        <v>104</v>
      </c>
      <c r="L74" s="25" t="s">
        <v>53</v>
      </c>
      <c r="M74" s="26">
        <v>2889.5</v>
      </c>
    </row>
    <row r="75" spans="3:13" x14ac:dyDescent="0.25">
      <c r="C75" s="23">
        <v>42460</v>
      </c>
      <c r="D75" s="34" t="s">
        <v>668</v>
      </c>
      <c r="E75" s="24" t="s">
        <v>168</v>
      </c>
      <c r="F75" s="24" t="s">
        <v>214</v>
      </c>
      <c r="G75" s="25" t="s">
        <v>669</v>
      </c>
      <c r="H75" s="25" t="s">
        <v>83</v>
      </c>
      <c r="I75" s="24" t="s">
        <v>104</v>
      </c>
      <c r="J75" s="25" t="s">
        <v>58</v>
      </c>
      <c r="K75" s="24" t="s">
        <v>104</v>
      </c>
      <c r="L75" s="25" t="s">
        <v>53</v>
      </c>
      <c r="M75" s="26">
        <v>54375</v>
      </c>
    </row>
    <row r="76" spans="3:13" x14ac:dyDescent="0.25">
      <c r="C76" s="23">
        <v>42460</v>
      </c>
      <c r="D76" s="34" t="s">
        <v>388</v>
      </c>
      <c r="E76" s="24" t="s">
        <v>124</v>
      </c>
      <c r="F76" s="24" t="s">
        <v>389</v>
      </c>
      <c r="G76" s="25" t="s">
        <v>390</v>
      </c>
      <c r="H76" s="25" t="s">
        <v>391</v>
      </c>
      <c r="I76" s="24" t="s">
        <v>104</v>
      </c>
      <c r="J76" s="25" t="s">
        <v>58</v>
      </c>
      <c r="K76" s="24" t="s">
        <v>104</v>
      </c>
      <c r="L76" s="25" t="s">
        <v>53</v>
      </c>
      <c r="M76" s="26">
        <v>180665.55999999997</v>
      </c>
    </row>
    <row r="77" spans="3:13" ht="45" x14ac:dyDescent="0.25">
      <c r="C77" s="29">
        <v>42472</v>
      </c>
      <c r="D77" s="33">
        <v>16160</v>
      </c>
      <c r="E77" s="16" t="s">
        <v>158</v>
      </c>
      <c r="F77" s="16" t="s">
        <v>209</v>
      </c>
      <c r="G77" s="28" t="s">
        <v>93</v>
      </c>
      <c r="H77" s="28" t="s">
        <v>83</v>
      </c>
      <c r="I77" s="16" t="s">
        <v>96</v>
      </c>
      <c r="J77" s="28" t="s">
        <v>62</v>
      </c>
      <c r="K77" s="16" t="s">
        <v>77</v>
      </c>
      <c r="L77" s="28" t="s">
        <v>52</v>
      </c>
      <c r="M77" s="31">
        <v>100000</v>
      </c>
    </row>
    <row r="78" spans="3:13" ht="45" x14ac:dyDescent="0.25">
      <c r="C78" s="29">
        <v>42473</v>
      </c>
      <c r="D78" s="27">
        <v>15115</v>
      </c>
      <c r="E78" s="16" t="s">
        <v>676</v>
      </c>
      <c r="F78" s="16" t="s">
        <v>193</v>
      </c>
      <c r="G78" s="28" t="s">
        <v>677</v>
      </c>
      <c r="H78" s="28" t="s">
        <v>83</v>
      </c>
      <c r="I78" s="16" t="s">
        <v>96</v>
      </c>
      <c r="J78" s="28" t="s">
        <v>62</v>
      </c>
      <c r="K78" s="16" t="s">
        <v>89</v>
      </c>
      <c r="L78" s="28" t="s">
        <v>52</v>
      </c>
      <c r="M78" s="31">
        <v>104618</v>
      </c>
    </row>
    <row r="79" spans="3:13" ht="30" x14ac:dyDescent="0.25">
      <c r="C79" s="23">
        <v>42534</v>
      </c>
      <c r="D79" s="30" t="s">
        <v>648</v>
      </c>
      <c r="E79" s="16" t="s">
        <v>120</v>
      </c>
      <c r="F79" s="16" t="s">
        <v>729</v>
      </c>
      <c r="G79" s="28" t="s">
        <v>93</v>
      </c>
      <c r="H79" s="28" t="s">
        <v>83</v>
      </c>
      <c r="I79" s="16" t="s">
        <v>111</v>
      </c>
      <c r="J79" s="28" t="s">
        <v>58</v>
      </c>
      <c r="K79" s="16" t="s">
        <v>104</v>
      </c>
      <c r="L79" s="28" t="s">
        <v>52</v>
      </c>
      <c r="M79" s="26">
        <v>12086</v>
      </c>
    </row>
    <row r="80" spans="3:13" ht="30" x14ac:dyDescent="0.25">
      <c r="C80" s="23">
        <v>42513</v>
      </c>
      <c r="D80" s="30" t="s">
        <v>648</v>
      </c>
      <c r="E80" s="16" t="s">
        <v>120</v>
      </c>
      <c r="F80" s="16" t="s">
        <v>714</v>
      </c>
      <c r="G80" s="28" t="s">
        <v>93</v>
      </c>
      <c r="H80" s="28" t="s">
        <v>83</v>
      </c>
      <c r="I80" s="16" t="s">
        <v>111</v>
      </c>
      <c r="J80" s="28" t="s">
        <v>58</v>
      </c>
      <c r="K80" s="16" t="s">
        <v>104</v>
      </c>
      <c r="L80" s="28" t="s">
        <v>52</v>
      </c>
      <c r="M80" s="26">
        <v>16673</v>
      </c>
    </row>
    <row r="81" spans="1:13" ht="30" x14ac:dyDescent="0.25">
      <c r="C81" s="23">
        <v>42515</v>
      </c>
      <c r="D81" s="34">
        <v>16189</v>
      </c>
      <c r="E81" s="24" t="s">
        <v>716</v>
      </c>
      <c r="F81" s="24" t="s">
        <v>717</v>
      </c>
      <c r="G81" s="25" t="s">
        <v>83</v>
      </c>
      <c r="H81" s="25" t="s">
        <v>83</v>
      </c>
      <c r="I81" s="24" t="s">
        <v>718</v>
      </c>
      <c r="J81" s="25" t="s">
        <v>69</v>
      </c>
      <c r="K81" s="24" t="s">
        <v>719</v>
      </c>
      <c r="L81" s="25" t="s">
        <v>53</v>
      </c>
      <c r="M81" s="26">
        <v>6000</v>
      </c>
    </row>
    <row r="82" spans="1:13" x14ac:dyDescent="0.25">
      <c r="C82" s="23">
        <v>42515</v>
      </c>
      <c r="D82" s="34">
        <v>16190</v>
      </c>
      <c r="E82" s="24" t="s">
        <v>716</v>
      </c>
      <c r="F82" s="24" t="s">
        <v>720</v>
      </c>
      <c r="G82" s="25" t="s">
        <v>83</v>
      </c>
      <c r="H82" s="25" t="s">
        <v>83</v>
      </c>
      <c r="I82" s="24" t="s">
        <v>134</v>
      </c>
      <c r="J82" s="25" t="s">
        <v>62</v>
      </c>
      <c r="K82" s="24" t="s">
        <v>721</v>
      </c>
      <c r="L82" s="25" t="s">
        <v>53</v>
      </c>
      <c r="M82" s="26">
        <v>10000</v>
      </c>
    </row>
    <row r="83" spans="1:13" x14ac:dyDescent="0.25">
      <c r="C83" s="29">
        <v>42551</v>
      </c>
      <c r="D83" s="34" t="s">
        <v>375</v>
      </c>
      <c r="E83" s="24" t="s">
        <v>112</v>
      </c>
      <c r="F83" s="24" t="s">
        <v>735</v>
      </c>
      <c r="G83" s="25" t="s">
        <v>377</v>
      </c>
      <c r="H83" s="25" t="s">
        <v>83</v>
      </c>
      <c r="I83" s="16" t="s">
        <v>104</v>
      </c>
      <c r="J83" s="28" t="s">
        <v>58</v>
      </c>
      <c r="K83" s="16" t="s">
        <v>104</v>
      </c>
      <c r="L83" s="25" t="s">
        <v>53</v>
      </c>
      <c r="M83" s="26">
        <v>13897.37</v>
      </c>
    </row>
    <row r="84" spans="1:13" x14ac:dyDescent="0.25">
      <c r="C84" s="29">
        <v>42551</v>
      </c>
      <c r="D84" s="34" t="s">
        <v>380</v>
      </c>
      <c r="E84" s="24" t="s">
        <v>159</v>
      </c>
      <c r="F84" s="24" t="s">
        <v>735</v>
      </c>
      <c r="G84" s="25" t="s">
        <v>382</v>
      </c>
      <c r="H84" s="25" t="s">
        <v>83</v>
      </c>
      <c r="I84" s="16" t="s">
        <v>104</v>
      </c>
      <c r="J84" s="28" t="s">
        <v>58</v>
      </c>
      <c r="K84" s="16" t="s">
        <v>104</v>
      </c>
      <c r="L84" s="25" t="s">
        <v>53</v>
      </c>
      <c r="M84" s="26">
        <v>3489</v>
      </c>
    </row>
    <row r="85" spans="1:13" x14ac:dyDescent="0.25">
      <c r="C85" s="29">
        <v>42551</v>
      </c>
      <c r="D85" s="34" t="s">
        <v>668</v>
      </c>
      <c r="E85" s="24" t="s">
        <v>168</v>
      </c>
      <c r="F85" s="24" t="s">
        <v>735</v>
      </c>
      <c r="G85" s="25" t="s">
        <v>669</v>
      </c>
      <c r="H85" s="25" t="s">
        <v>83</v>
      </c>
      <c r="I85" s="16" t="s">
        <v>104</v>
      </c>
      <c r="J85" s="28" t="s">
        <v>58</v>
      </c>
      <c r="K85" s="16" t="s">
        <v>104</v>
      </c>
      <c r="L85" s="25" t="s">
        <v>53</v>
      </c>
      <c r="M85" s="26">
        <v>-51995</v>
      </c>
    </row>
    <row r="86" spans="1:13" x14ac:dyDescent="0.25">
      <c r="C86" s="29">
        <v>42551</v>
      </c>
      <c r="D86" s="34" t="s">
        <v>388</v>
      </c>
      <c r="E86" s="24" t="s">
        <v>124</v>
      </c>
      <c r="F86" s="24" t="s">
        <v>735</v>
      </c>
      <c r="G86" s="25" t="s">
        <v>390</v>
      </c>
      <c r="H86" s="25" t="s">
        <v>391</v>
      </c>
      <c r="I86" s="16" t="s">
        <v>104</v>
      </c>
      <c r="J86" s="28" t="s">
        <v>58</v>
      </c>
      <c r="K86" s="16" t="s">
        <v>104</v>
      </c>
      <c r="L86" s="25" t="s">
        <v>53</v>
      </c>
      <c r="M86" s="26">
        <v>195265.00999999998</v>
      </c>
    </row>
    <row r="87" spans="1:13" x14ac:dyDescent="0.25">
      <c r="C87" s="70"/>
      <c r="D87" s="71"/>
      <c r="E87" s="56"/>
      <c r="F87" s="56"/>
      <c r="G87" s="68"/>
      <c r="H87" s="68"/>
      <c r="I87" s="56"/>
      <c r="J87" s="68"/>
      <c r="K87" s="36"/>
      <c r="L87" s="68"/>
      <c r="M87" s="86"/>
    </row>
    <row r="88" spans="1:13" ht="21" x14ac:dyDescent="0.25">
      <c r="A88" s="58"/>
      <c r="B88" s="59" t="s">
        <v>27</v>
      </c>
      <c r="C88" s="60"/>
      <c r="D88" s="61"/>
      <c r="E88" s="62"/>
      <c r="F88" s="63"/>
      <c r="G88" s="64"/>
      <c r="H88" s="64"/>
      <c r="I88" s="65" t="s">
        <v>1</v>
      </c>
      <c r="J88" s="64">
        <f>COUNT(M90:M91)</f>
        <v>0</v>
      </c>
      <c r="K88" s="81"/>
      <c r="L88" s="66" t="s">
        <v>0</v>
      </c>
      <c r="M88" s="67">
        <f>SUM(M90:M91)</f>
        <v>0</v>
      </c>
    </row>
    <row r="89" spans="1:13" ht="37.5" x14ac:dyDescent="0.25">
      <c r="A89" s="80"/>
      <c r="B89" s="80"/>
      <c r="C89" s="47" t="s">
        <v>2</v>
      </c>
      <c r="D89" s="48" t="s">
        <v>3</v>
      </c>
      <c r="E89" s="49" t="s">
        <v>4</v>
      </c>
      <c r="F89" s="50" t="s">
        <v>5</v>
      </c>
      <c r="G89" s="51" t="s">
        <v>6</v>
      </c>
      <c r="H89" s="51" t="s">
        <v>7</v>
      </c>
      <c r="I89" s="50" t="s">
        <v>8</v>
      </c>
      <c r="J89" s="50" t="s">
        <v>9</v>
      </c>
      <c r="K89" s="50" t="s">
        <v>10</v>
      </c>
      <c r="L89" s="51" t="s">
        <v>11</v>
      </c>
      <c r="M89" s="52" t="s">
        <v>12</v>
      </c>
    </row>
    <row r="90" spans="1:13" x14ac:dyDescent="0.25">
      <c r="C90" s="70"/>
      <c r="D90" s="71"/>
      <c r="E90" s="72"/>
      <c r="F90" s="56"/>
      <c r="G90" s="68"/>
      <c r="H90" s="68"/>
      <c r="I90" s="56"/>
      <c r="J90" s="68"/>
      <c r="K90" s="36"/>
      <c r="L90" s="68"/>
      <c r="M90" s="84"/>
    </row>
    <row r="91" spans="1:13" x14ac:dyDescent="0.25">
      <c r="C91" s="70"/>
      <c r="D91" s="71"/>
      <c r="E91" s="72"/>
      <c r="F91" s="56"/>
      <c r="G91" s="68"/>
      <c r="H91" s="68"/>
      <c r="I91" s="56"/>
      <c r="J91" s="68"/>
      <c r="K91" s="36"/>
      <c r="L91" s="68"/>
      <c r="M91" s="84"/>
    </row>
    <row r="92" spans="1:13" ht="21" x14ac:dyDescent="0.25">
      <c r="A92" s="58"/>
      <c r="B92" s="59" t="s">
        <v>28</v>
      </c>
      <c r="C92" s="60"/>
      <c r="D92" s="61"/>
      <c r="E92" s="62"/>
      <c r="F92" s="63"/>
      <c r="G92" s="64"/>
      <c r="H92" s="64"/>
      <c r="I92" s="65" t="s">
        <v>1</v>
      </c>
      <c r="J92" s="64">
        <f>COUNT(M94:M95)</f>
        <v>0</v>
      </c>
      <c r="K92" s="81"/>
      <c r="L92" s="66" t="s">
        <v>0</v>
      </c>
      <c r="M92" s="67">
        <f>SUM(M94:M95)</f>
        <v>0</v>
      </c>
    </row>
    <row r="93" spans="1:13" ht="37.5" x14ac:dyDescent="0.25">
      <c r="A93" s="80"/>
      <c r="B93" s="80"/>
      <c r="C93" s="47" t="s">
        <v>2</v>
      </c>
      <c r="D93" s="48" t="s">
        <v>3</v>
      </c>
      <c r="E93" s="49" t="s">
        <v>4</v>
      </c>
      <c r="F93" s="50" t="s">
        <v>5</v>
      </c>
      <c r="G93" s="51" t="s">
        <v>6</v>
      </c>
      <c r="H93" s="51" t="s">
        <v>7</v>
      </c>
      <c r="I93" s="50" t="s">
        <v>8</v>
      </c>
      <c r="J93" s="50" t="s">
        <v>9</v>
      </c>
      <c r="K93" s="50" t="s">
        <v>10</v>
      </c>
      <c r="L93" s="51" t="s">
        <v>11</v>
      </c>
      <c r="M93" s="52" t="s">
        <v>12</v>
      </c>
    </row>
    <row r="94" spans="1:13" x14ac:dyDescent="0.25">
      <c r="C94" s="70"/>
      <c r="D94" s="71"/>
      <c r="E94" s="72"/>
      <c r="F94" s="56"/>
      <c r="G94" s="68"/>
      <c r="H94" s="68"/>
      <c r="I94" s="56"/>
      <c r="J94" s="68"/>
      <c r="K94" s="36"/>
      <c r="L94" s="68"/>
      <c r="M94" s="84"/>
    </row>
    <row r="95" spans="1:13" x14ac:dyDescent="0.25">
      <c r="C95" s="70"/>
      <c r="D95" s="71"/>
      <c r="E95" s="72"/>
      <c r="F95" s="56"/>
      <c r="G95" s="68"/>
      <c r="H95" s="68"/>
      <c r="I95" s="56"/>
      <c r="J95" s="68"/>
      <c r="K95" s="36"/>
      <c r="L95" s="68"/>
      <c r="M95" s="84"/>
    </row>
    <row r="96" spans="1:13" ht="21" x14ac:dyDescent="0.25">
      <c r="A96" s="58"/>
      <c r="B96" s="59" t="s">
        <v>48</v>
      </c>
      <c r="C96" s="60"/>
      <c r="D96" s="61"/>
      <c r="E96" s="62"/>
      <c r="F96" s="63"/>
      <c r="G96" s="64"/>
      <c r="H96" s="64"/>
      <c r="I96" s="65" t="s">
        <v>1</v>
      </c>
      <c r="J96" s="64">
        <f>COUNT(M98:M105)</f>
        <v>7</v>
      </c>
      <c r="K96" s="81"/>
      <c r="L96" s="66" t="s">
        <v>0</v>
      </c>
      <c r="M96" s="67">
        <f>SUM(M98:M105)</f>
        <v>1425680.2699999998</v>
      </c>
    </row>
    <row r="97" spans="1:13" ht="37.5" x14ac:dyDescent="0.25">
      <c r="A97" s="80"/>
      <c r="B97" s="80"/>
      <c r="C97" s="47" t="s">
        <v>2</v>
      </c>
      <c r="D97" s="48" t="s">
        <v>3</v>
      </c>
      <c r="E97" s="49" t="s">
        <v>4</v>
      </c>
      <c r="F97" s="50" t="s">
        <v>5</v>
      </c>
      <c r="G97" s="51" t="s">
        <v>6</v>
      </c>
      <c r="H97" s="51" t="s">
        <v>7</v>
      </c>
      <c r="I97" s="50" t="s">
        <v>8</v>
      </c>
      <c r="J97" s="50" t="s">
        <v>9</v>
      </c>
      <c r="K97" s="50" t="s">
        <v>10</v>
      </c>
      <c r="L97" s="51" t="s">
        <v>11</v>
      </c>
      <c r="M97" s="52" t="s">
        <v>12</v>
      </c>
    </row>
    <row r="98" spans="1:13" ht="45" x14ac:dyDescent="0.25">
      <c r="C98" s="54">
        <v>42207</v>
      </c>
      <c r="D98" s="9">
        <v>16017</v>
      </c>
      <c r="E98" s="56" t="s">
        <v>116</v>
      </c>
      <c r="F98" s="56" t="s">
        <v>91</v>
      </c>
      <c r="G98" s="57" t="s">
        <v>82</v>
      </c>
      <c r="H98" s="68" t="s">
        <v>83</v>
      </c>
      <c r="I98" s="56" t="s">
        <v>96</v>
      </c>
      <c r="J98" s="68" t="s">
        <v>62</v>
      </c>
      <c r="K98" s="56" t="s">
        <v>77</v>
      </c>
      <c r="L98" s="85" t="s">
        <v>52</v>
      </c>
      <c r="M98" s="69">
        <v>1156250</v>
      </c>
    </row>
    <row r="99" spans="1:13" x14ac:dyDescent="0.25">
      <c r="C99" s="29">
        <v>42277</v>
      </c>
      <c r="D99" s="33" t="s">
        <v>386</v>
      </c>
      <c r="E99" s="16" t="s">
        <v>116</v>
      </c>
      <c r="F99" s="16" t="s">
        <v>387</v>
      </c>
      <c r="G99" s="28" t="s">
        <v>82</v>
      </c>
      <c r="H99" s="28" t="s">
        <v>83</v>
      </c>
      <c r="I99" s="16" t="s">
        <v>104</v>
      </c>
      <c r="J99" s="28" t="s">
        <v>58</v>
      </c>
      <c r="K99" s="16" t="s">
        <v>104</v>
      </c>
      <c r="L99" s="28" t="s">
        <v>53</v>
      </c>
      <c r="M99" s="31">
        <v>24095.9</v>
      </c>
    </row>
    <row r="100" spans="1:13" ht="45" x14ac:dyDescent="0.25">
      <c r="C100" s="29">
        <v>42312</v>
      </c>
      <c r="D100" s="33">
        <v>16017</v>
      </c>
      <c r="E100" s="16" t="s">
        <v>116</v>
      </c>
      <c r="F100" s="16" t="s">
        <v>91</v>
      </c>
      <c r="G100" s="28" t="s">
        <v>82</v>
      </c>
      <c r="H100" s="28" t="s">
        <v>83</v>
      </c>
      <c r="I100" s="16" t="s">
        <v>96</v>
      </c>
      <c r="J100" s="28" t="s">
        <v>62</v>
      </c>
      <c r="K100" s="16" t="s">
        <v>77</v>
      </c>
      <c r="L100" s="28" t="s">
        <v>52</v>
      </c>
      <c r="M100" s="26">
        <v>25000</v>
      </c>
    </row>
    <row r="101" spans="1:13" x14ac:dyDescent="0.25">
      <c r="C101" s="23">
        <v>42369</v>
      </c>
      <c r="D101" s="34" t="s">
        <v>386</v>
      </c>
      <c r="E101" s="24" t="s">
        <v>116</v>
      </c>
      <c r="F101" s="24" t="s">
        <v>387</v>
      </c>
      <c r="G101" s="25" t="s">
        <v>82</v>
      </c>
      <c r="H101" s="25" t="s">
        <v>83</v>
      </c>
      <c r="I101" s="24" t="s">
        <v>104</v>
      </c>
      <c r="J101" s="25" t="s">
        <v>58</v>
      </c>
      <c r="K101" s="24" t="s">
        <v>104</v>
      </c>
      <c r="L101" s="25" t="s">
        <v>53</v>
      </c>
      <c r="M101" s="26">
        <v>12416.16</v>
      </c>
    </row>
    <row r="102" spans="1:13" x14ac:dyDescent="0.25">
      <c r="C102" s="23">
        <v>42460</v>
      </c>
      <c r="D102" s="34" t="s">
        <v>386</v>
      </c>
      <c r="E102" s="24" t="s">
        <v>116</v>
      </c>
      <c r="F102" s="24" t="s">
        <v>387</v>
      </c>
      <c r="G102" s="25" t="s">
        <v>82</v>
      </c>
      <c r="H102" s="25" t="s">
        <v>83</v>
      </c>
      <c r="I102" s="24" t="s">
        <v>104</v>
      </c>
      <c r="J102" s="25" t="s">
        <v>58</v>
      </c>
      <c r="K102" s="24" t="s">
        <v>104</v>
      </c>
      <c r="L102" s="25" t="s">
        <v>53</v>
      </c>
      <c r="M102" s="26">
        <v>43041.270000000004</v>
      </c>
    </row>
    <row r="103" spans="1:13" ht="45" x14ac:dyDescent="0.25">
      <c r="C103" s="23">
        <v>42451</v>
      </c>
      <c r="D103" s="34">
        <v>16154</v>
      </c>
      <c r="E103" s="24" t="s">
        <v>670</v>
      </c>
      <c r="F103" s="24" t="s">
        <v>657</v>
      </c>
      <c r="G103" s="25" t="s">
        <v>82</v>
      </c>
      <c r="H103" s="25" t="s">
        <v>83</v>
      </c>
      <c r="I103" s="24" t="s">
        <v>96</v>
      </c>
      <c r="J103" s="25" t="s">
        <v>62</v>
      </c>
      <c r="K103" s="24" t="s">
        <v>77</v>
      </c>
      <c r="L103" s="25" t="s">
        <v>52</v>
      </c>
      <c r="M103" s="26">
        <v>105497</v>
      </c>
    </row>
    <row r="104" spans="1:13" x14ac:dyDescent="0.25">
      <c r="C104" s="29">
        <v>42551</v>
      </c>
      <c r="D104" s="34" t="s">
        <v>386</v>
      </c>
      <c r="E104" s="24" t="s">
        <v>116</v>
      </c>
      <c r="F104" s="24" t="s">
        <v>735</v>
      </c>
      <c r="G104" s="25" t="s">
        <v>82</v>
      </c>
      <c r="H104" s="25" t="s">
        <v>83</v>
      </c>
      <c r="I104" s="16" t="s">
        <v>104</v>
      </c>
      <c r="J104" s="28" t="s">
        <v>58</v>
      </c>
      <c r="K104" s="16" t="s">
        <v>104</v>
      </c>
      <c r="L104" s="25" t="s">
        <v>53</v>
      </c>
      <c r="M104" s="26">
        <v>59379.94</v>
      </c>
    </row>
    <row r="105" spans="1:13" x14ac:dyDescent="0.25">
      <c r="C105" s="70"/>
      <c r="D105" s="71"/>
      <c r="E105" s="72"/>
      <c r="F105" s="56"/>
      <c r="G105" s="68"/>
      <c r="H105" s="68"/>
      <c r="I105" s="56"/>
      <c r="J105" s="68"/>
      <c r="K105" s="36"/>
      <c r="L105" s="68"/>
      <c r="M105" s="86"/>
    </row>
    <row r="106" spans="1:13" ht="21" x14ac:dyDescent="0.25">
      <c r="A106" s="37" t="s">
        <v>29</v>
      </c>
      <c r="B106" s="37"/>
      <c r="C106" s="38"/>
      <c r="D106" s="39"/>
      <c r="E106" s="40"/>
      <c r="F106" s="41"/>
      <c r="G106" s="42"/>
      <c r="H106" s="42"/>
      <c r="I106" s="43" t="s">
        <v>1</v>
      </c>
      <c r="J106" s="42">
        <f>J107+J169</f>
        <v>59</v>
      </c>
      <c r="K106" s="83"/>
      <c r="L106" s="44" t="s">
        <v>0</v>
      </c>
      <c r="M106" s="45">
        <f>M107+M169</f>
        <v>4743863.8699999982</v>
      </c>
    </row>
    <row r="107" spans="1:13" ht="21" x14ac:dyDescent="0.25">
      <c r="A107" s="58"/>
      <c r="B107" s="59" t="s">
        <v>29</v>
      </c>
      <c r="C107" s="60"/>
      <c r="D107" s="61"/>
      <c r="E107" s="62"/>
      <c r="F107" s="63"/>
      <c r="G107" s="64"/>
      <c r="H107" s="64"/>
      <c r="I107" s="65" t="s">
        <v>1</v>
      </c>
      <c r="J107" s="64">
        <f>COUNT(M109:M168)</f>
        <v>59</v>
      </c>
      <c r="K107" s="81"/>
      <c r="L107" s="66" t="s">
        <v>0</v>
      </c>
      <c r="M107" s="67">
        <f>SUM(M109:M168)</f>
        <v>4743863.8699999982</v>
      </c>
    </row>
    <row r="108" spans="1:13" ht="37.5" x14ac:dyDescent="0.25">
      <c r="A108" s="80"/>
      <c r="B108" s="80"/>
      <c r="C108" s="47" t="s">
        <v>2</v>
      </c>
      <c r="D108" s="48" t="s">
        <v>3</v>
      </c>
      <c r="E108" s="49" t="s">
        <v>4</v>
      </c>
      <c r="F108" s="50" t="s">
        <v>5</v>
      </c>
      <c r="G108" s="51" t="s">
        <v>6</v>
      </c>
      <c r="H108" s="51" t="s">
        <v>7</v>
      </c>
      <c r="I108" s="50" t="s">
        <v>8</v>
      </c>
      <c r="J108" s="50" t="s">
        <v>9</v>
      </c>
      <c r="K108" s="50" t="s">
        <v>10</v>
      </c>
      <c r="L108" s="51" t="s">
        <v>11</v>
      </c>
      <c r="M108" s="52" t="s">
        <v>12</v>
      </c>
    </row>
    <row r="109" spans="1:13" ht="45" x14ac:dyDescent="0.25">
      <c r="C109" s="54">
        <v>42215</v>
      </c>
      <c r="D109" s="9">
        <v>16014</v>
      </c>
      <c r="E109" s="56" t="s">
        <v>251</v>
      </c>
      <c r="F109" s="56" t="s">
        <v>252</v>
      </c>
      <c r="G109" s="57" t="s">
        <v>153</v>
      </c>
      <c r="H109" s="68" t="s">
        <v>63</v>
      </c>
      <c r="I109" s="56" t="s">
        <v>75</v>
      </c>
      <c r="J109" s="68" t="s">
        <v>62</v>
      </c>
      <c r="K109" s="56" t="s">
        <v>212</v>
      </c>
      <c r="L109" s="85" t="s">
        <v>198</v>
      </c>
      <c r="M109" s="69">
        <v>109574</v>
      </c>
    </row>
    <row r="110" spans="1:13" ht="30" x14ac:dyDescent="0.25">
      <c r="C110" s="54">
        <v>42205</v>
      </c>
      <c r="D110" s="9">
        <v>16006</v>
      </c>
      <c r="E110" s="56" t="s">
        <v>115</v>
      </c>
      <c r="F110" s="56" t="s">
        <v>81</v>
      </c>
      <c r="G110" s="57" t="s">
        <v>79</v>
      </c>
      <c r="H110" s="68" t="s">
        <v>63</v>
      </c>
      <c r="I110" s="56" t="s">
        <v>80</v>
      </c>
      <c r="J110" s="68" t="s">
        <v>58</v>
      </c>
      <c r="K110" s="56" t="s">
        <v>104</v>
      </c>
      <c r="L110" s="85" t="s">
        <v>52</v>
      </c>
      <c r="M110" s="69">
        <v>30200</v>
      </c>
    </row>
    <row r="111" spans="1:13" ht="45" x14ac:dyDescent="0.25">
      <c r="C111" s="54">
        <v>42236</v>
      </c>
      <c r="D111" s="9">
        <v>16024</v>
      </c>
      <c r="E111" s="56" t="s">
        <v>266</v>
      </c>
      <c r="F111" s="56" t="s">
        <v>267</v>
      </c>
      <c r="G111" s="57" t="s">
        <v>268</v>
      </c>
      <c r="H111" s="68" t="s">
        <v>63</v>
      </c>
      <c r="I111" s="56" t="s">
        <v>269</v>
      </c>
      <c r="J111" s="68" t="s">
        <v>57</v>
      </c>
      <c r="K111" s="56" t="s">
        <v>104</v>
      </c>
      <c r="L111" s="85" t="s">
        <v>197</v>
      </c>
      <c r="M111" s="69">
        <v>1843</v>
      </c>
    </row>
    <row r="112" spans="1:13" x14ac:dyDescent="0.25">
      <c r="C112" s="54">
        <v>42217</v>
      </c>
      <c r="D112" s="9">
        <v>14156</v>
      </c>
      <c r="E112" s="56" t="s">
        <v>115</v>
      </c>
      <c r="F112" s="56" t="s">
        <v>254</v>
      </c>
      <c r="G112" s="57" t="s">
        <v>79</v>
      </c>
      <c r="H112" s="68" t="s">
        <v>63</v>
      </c>
      <c r="I112" s="56" t="s">
        <v>255</v>
      </c>
      <c r="J112" s="68" t="s">
        <v>256</v>
      </c>
      <c r="K112" s="56" t="s">
        <v>104</v>
      </c>
      <c r="L112" s="85" t="s">
        <v>52</v>
      </c>
      <c r="M112" s="69">
        <v>30200</v>
      </c>
    </row>
    <row r="113" spans="3:13" x14ac:dyDescent="0.25">
      <c r="C113" s="29">
        <v>42277</v>
      </c>
      <c r="D113" s="33" t="s">
        <v>335</v>
      </c>
      <c r="E113" s="16" t="s">
        <v>172</v>
      </c>
      <c r="F113" s="16" t="s">
        <v>336</v>
      </c>
      <c r="G113" s="28" t="s">
        <v>153</v>
      </c>
      <c r="H113" s="28" t="s">
        <v>63</v>
      </c>
      <c r="I113" s="16" t="s">
        <v>104</v>
      </c>
      <c r="J113" s="28" t="s">
        <v>58</v>
      </c>
      <c r="K113" s="16" t="s">
        <v>104</v>
      </c>
      <c r="L113" s="28" t="s">
        <v>53</v>
      </c>
      <c r="M113" s="31">
        <v>1140</v>
      </c>
    </row>
    <row r="114" spans="3:13" x14ac:dyDescent="0.25">
      <c r="C114" s="29">
        <v>42277</v>
      </c>
      <c r="D114" s="33" t="s">
        <v>337</v>
      </c>
      <c r="E114" s="16" t="s">
        <v>338</v>
      </c>
      <c r="F114" s="16" t="s">
        <v>339</v>
      </c>
      <c r="G114" s="28" t="s">
        <v>340</v>
      </c>
      <c r="H114" s="28" t="s">
        <v>63</v>
      </c>
      <c r="I114" s="16" t="s">
        <v>104</v>
      </c>
      <c r="J114" s="28" t="s">
        <v>58</v>
      </c>
      <c r="K114" s="16" t="s">
        <v>104</v>
      </c>
      <c r="L114" s="28" t="s">
        <v>53</v>
      </c>
      <c r="M114" s="31">
        <v>1800</v>
      </c>
    </row>
    <row r="115" spans="3:13" ht="30" x14ac:dyDescent="0.25">
      <c r="C115" s="29">
        <v>42249</v>
      </c>
      <c r="D115" s="33">
        <v>16036</v>
      </c>
      <c r="E115" s="16" t="s">
        <v>296</v>
      </c>
      <c r="F115" s="16" t="s">
        <v>297</v>
      </c>
      <c r="G115" s="28" t="s">
        <v>298</v>
      </c>
      <c r="H115" s="28" t="s">
        <v>63</v>
      </c>
      <c r="I115" s="16" t="s">
        <v>299</v>
      </c>
      <c r="J115" s="28" t="s">
        <v>62</v>
      </c>
      <c r="K115" s="16" t="s">
        <v>208</v>
      </c>
      <c r="L115" s="28" t="s">
        <v>52</v>
      </c>
      <c r="M115" s="31">
        <f>74236*20%</f>
        <v>14847.2</v>
      </c>
    </row>
    <row r="116" spans="3:13" ht="30" x14ac:dyDescent="0.25">
      <c r="C116" s="29">
        <v>42249</v>
      </c>
      <c r="D116" s="33">
        <v>16036</v>
      </c>
      <c r="E116" s="16" t="s">
        <v>300</v>
      </c>
      <c r="F116" s="16" t="s">
        <v>297</v>
      </c>
      <c r="G116" s="28" t="s">
        <v>298</v>
      </c>
      <c r="H116" s="28" t="s">
        <v>63</v>
      </c>
      <c r="I116" s="16" t="s">
        <v>299</v>
      </c>
      <c r="J116" s="28" t="s">
        <v>62</v>
      </c>
      <c r="K116" s="16" t="s">
        <v>208</v>
      </c>
      <c r="L116" s="28" t="s">
        <v>52</v>
      </c>
      <c r="M116" s="31">
        <f>74236*80%</f>
        <v>59388.800000000003</v>
      </c>
    </row>
    <row r="117" spans="3:13" x14ac:dyDescent="0.25">
      <c r="C117" s="29">
        <v>42277</v>
      </c>
      <c r="D117" s="33" t="s">
        <v>341</v>
      </c>
      <c r="E117" s="16" t="s">
        <v>162</v>
      </c>
      <c r="F117" s="16" t="s">
        <v>342</v>
      </c>
      <c r="G117" s="28" t="s">
        <v>343</v>
      </c>
      <c r="H117" s="28" t="s">
        <v>63</v>
      </c>
      <c r="I117" s="16" t="s">
        <v>104</v>
      </c>
      <c r="J117" s="28" t="s">
        <v>58</v>
      </c>
      <c r="K117" s="16" t="s">
        <v>104</v>
      </c>
      <c r="L117" s="28" t="s">
        <v>53</v>
      </c>
      <c r="M117" s="31">
        <v>56500</v>
      </c>
    </row>
    <row r="118" spans="3:13" ht="30" x14ac:dyDescent="0.25">
      <c r="C118" s="29">
        <v>42257</v>
      </c>
      <c r="D118" s="33">
        <v>16037</v>
      </c>
      <c r="E118" s="16" t="s">
        <v>310</v>
      </c>
      <c r="F118" s="16" t="s">
        <v>311</v>
      </c>
      <c r="G118" s="28" t="s">
        <v>312</v>
      </c>
      <c r="H118" s="28" t="s">
        <v>63</v>
      </c>
      <c r="I118" s="16" t="s">
        <v>75</v>
      </c>
      <c r="J118" s="28" t="s">
        <v>62</v>
      </c>
      <c r="K118" s="16" t="s">
        <v>104</v>
      </c>
      <c r="L118" s="28" t="s">
        <v>198</v>
      </c>
      <c r="M118" s="31">
        <f>1000000*25%</f>
        <v>250000</v>
      </c>
    </row>
    <row r="119" spans="3:13" ht="30" x14ac:dyDescent="0.25">
      <c r="C119" s="29">
        <v>42257</v>
      </c>
      <c r="D119" s="33">
        <v>16037</v>
      </c>
      <c r="E119" s="16" t="s">
        <v>163</v>
      </c>
      <c r="F119" s="16" t="s">
        <v>311</v>
      </c>
      <c r="G119" s="28" t="s">
        <v>312</v>
      </c>
      <c r="H119" s="28" t="s">
        <v>63</v>
      </c>
      <c r="I119" s="16" t="s">
        <v>75</v>
      </c>
      <c r="J119" s="28" t="s">
        <v>62</v>
      </c>
      <c r="K119" s="16" t="s">
        <v>104</v>
      </c>
      <c r="L119" s="28" t="s">
        <v>198</v>
      </c>
      <c r="M119" s="31">
        <f>1000000*25%</f>
        <v>250000</v>
      </c>
    </row>
    <row r="120" spans="3:13" x14ac:dyDescent="0.25">
      <c r="C120" s="29">
        <v>42277</v>
      </c>
      <c r="D120" s="33" t="s">
        <v>344</v>
      </c>
      <c r="E120" s="16" t="s">
        <v>161</v>
      </c>
      <c r="F120" s="16" t="s">
        <v>345</v>
      </c>
      <c r="G120" s="28" t="s">
        <v>346</v>
      </c>
      <c r="H120" s="28" t="s">
        <v>63</v>
      </c>
      <c r="I120" s="16" t="s">
        <v>104</v>
      </c>
      <c r="J120" s="28" t="s">
        <v>58</v>
      </c>
      <c r="K120" s="16" t="s">
        <v>104</v>
      </c>
      <c r="L120" s="28" t="s">
        <v>53</v>
      </c>
      <c r="M120" s="31">
        <v>24853.99</v>
      </c>
    </row>
    <row r="121" spans="3:13" x14ac:dyDescent="0.25">
      <c r="C121" s="29">
        <v>42277</v>
      </c>
      <c r="D121" s="33" t="s">
        <v>347</v>
      </c>
      <c r="E121" s="16" t="s">
        <v>160</v>
      </c>
      <c r="F121" s="16" t="s">
        <v>348</v>
      </c>
      <c r="G121" s="28" t="s">
        <v>349</v>
      </c>
      <c r="H121" s="28" t="s">
        <v>63</v>
      </c>
      <c r="I121" s="16" t="s">
        <v>104</v>
      </c>
      <c r="J121" s="28" t="s">
        <v>58</v>
      </c>
      <c r="K121" s="16" t="s">
        <v>104</v>
      </c>
      <c r="L121" s="28" t="s">
        <v>53</v>
      </c>
      <c r="M121" s="31">
        <v>37189.080000000009</v>
      </c>
    </row>
    <row r="122" spans="3:13" ht="30" x14ac:dyDescent="0.25">
      <c r="C122" s="23">
        <v>42313</v>
      </c>
      <c r="D122" s="34">
        <v>16092</v>
      </c>
      <c r="E122" s="24" t="s">
        <v>516</v>
      </c>
      <c r="F122" s="24" t="s">
        <v>517</v>
      </c>
      <c r="G122" s="25" t="s">
        <v>153</v>
      </c>
      <c r="H122" s="25" t="s">
        <v>63</v>
      </c>
      <c r="I122" s="24" t="s">
        <v>467</v>
      </c>
      <c r="J122" s="25" t="s">
        <v>62</v>
      </c>
      <c r="K122" s="24" t="s">
        <v>104</v>
      </c>
      <c r="L122" s="25" t="s">
        <v>52</v>
      </c>
      <c r="M122" s="26">
        <f>1620000*25%</f>
        <v>405000</v>
      </c>
    </row>
    <row r="123" spans="3:13" ht="30" x14ac:dyDescent="0.25">
      <c r="C123" s="23">
        <v>42313</v>
      </c>
      <c r="D123" s="34">
        <v>16092</v>
      </c>
      <c r="E123" s="24" t="s">
        <v>518</v>
      </c>
      <c r="F123" s="24" t="s">
        <v>517</v>
      </c>
      <c r="G123" s="25" t="s">
        <v>153</v>
      </c>
      <c r="H123" s="25" t="s">
        <v>63</v>
      </c>
      <c r="I123" s="24" t="s">
        <v>467</v>
      </c>
      <c r="J123" s="25" t="s">
        <v>62</v>
      </c>
      <c r="K123" s="24" t="s">
        <v>104</v>
      </c>
      <c r="L123" s="25" t="s">
        <v>52</v>
      </c>
      <c r="M123" s="26">
        <f>1620000*25%</f>
        <v>405000</v>
      </c>
    </row>
    <row r="124" spans="3:13" ht="30" x14ac:dyDescent="0.25">
      <c r="C124" s="23">
        <v>42313</v>
      </c>
      <c r="D124" s="34">
        <v>16092</v>
      </c>
      <c r="E124" s="24" t="s">
        <v>519</v>
      </c>
      <c r="F124" s="24" t="s">
        <v>517</v>
      </c>
      <c r="G124" s="25" t="s">
        <v>153</v>
      </c>
      <c r="H124" s="25" t="s">
        <v>63</v>
      </c>
      <c r="I124" s="24" t="s">
        <v>467</v>
      </c>
      <c r="J124" s="25" t="s">
        <v>62</v>
      </c>
      <c r="K124" s="24" t="s">
        <v>104</v>
      </c>
      <c r="L124" s="25" t="s">
        <v>52</v>
      </c>
      <c r="M124" s="26">
        <f>1620000*25%</f>
        <v>405000</v>
      </c>
    </row>
    <row r="125" spans="3:13" ht="30" x14ac:dyDescent="0.25">
      <c r="C125" s="23">
        <v>42313</v>
      </c>
      <c r="D125" s="34">
        <v>16092</v>
      </c>
      <c r="E125" s="24" t="s">
        <v>520</v>
      </c>
      <c r="F125" s="24" t="s">
        <v>517</v>
      </c>
      <c r="G125" s="25" t="s">
        <v>153</v>
      </c>
      <c r="H125" s="25" t="s">
        <v>63</v>
      </c>
      <c r="I125" s="24" t="s">
        <v>467</v>
      </c>
      <c r="J125" s="25" t="s">
        <v>62</v>
      </c>
      <c r="K125" s="24" t="s">
        <v>104</v>
      </c>
      <c r="L125" s="25" t="s">
        <v>52</v>
      </c>
      <c r="M125" s="26">
        <f>1620000*25%</f>
        <v>405000</v>
      </c>
    </row>
    <row r="126" spans="3:13" ht="30" x14ac:dyDescent="0.25">
      <c r="C126" s="23">
        <v>42324</v>
      </c>
      <c r="D126" s="34">
        <v>15178</v>
      </c>
      <c r="E126" s="24" t="s">
        <v>184</v>
      </c>
      <c r="F126" s="24" t="s">
        <v>210</v>
      </c>
      <c r="G126" s="25" t="s">
        <v>150</v>
      </c>
      <c r="H126" s="25" t="s">
        <v>63</v>
      </c>
      <c r="I126" s="24" t="s">
        <v>467</v>
      </c>
      <c r="J126" s="25" t="s">
        <v>62</v>
      </c>
      <c r="K126" s="24" t="s">
        <v>473</v>
      </c>
      <c r="L126" s="25" t="s">
        <v>53</v>
      </c>
      <c r="M126" s="26">
        <f>53381*90%</f>
        <v>48042.9</v>
      </c>
    </row>
    <row r="127" spans="3:13" ht="30" x14ac:dyDescent="0.25">
      <c r="C127" s="23">
        <v>42324</v>
      </c>
      <c r="D127" s="34">
        <v>15178</v>
      </c>
      <c r="E127" s="24" t="s">
        <v>185</v>
      </c>
      <c r="F127" s="24" t="s">
        <v>210</v>
      </c>
      <c r="G127" s="25" t="s">
        <v>150</v>
      </c>
      <c r="H127" s="25" t="s">
        <v>63</v>
      </c>
      <c r="I127" s="24" t="s">
        <v>467</v>
      </c>
      <c r="J127" s="25" t="s">
        <v>62</v>
      </c>
      <c r="K127" s="24" t="s">
        <v>473</v>
      </c>
      <c r="L127" s="25" t="s">
        <v>53</v>
      </c>
      <c r="M127" s="26">
        <f>53381*10%</f>
        <v>5338.1</v>
      </c>
    </row>
    <row r="128" spans="3:13" ht="45" x14ac:dyDescent="0.25">
      <c r="C128" s="23">
        <v>42313</v>
      </c>
      <c r="D128" s="34">
        <v>16086</v>
      </c>
      <c r="E128" s="24" t="s">
        <v>513</v>
      </c>
      <c r="F128" s="24" t="s">
        <v>514</v>
      </c>
      <c r="G128" s="25" t="s">
        <v>312</v>
      </c>
      <c r="H128" s="25" t="s">
        <v>63</v>
      </c>
      <c r="I128" s="24" t="s">
        <v>515</v>
      </c>
      <c r="J128" s="25" t="s">
        <v>69</v>
      </c>
      <c r="K128" s="24" t="s">
        <v>104</v>
      </c>
      <c r="L128" s="25" t="s">
        <v>197</v>
      </c>
      <c r="M128" s="26">
        <v>5100</v>
      </c>
    </row>
    <row r="129" spans="3:13" ht="30" x14ac:dyDescent="0.25">
      <c r="C129" s="23">
        <v>42339</v>
      </c>
      <c r="D129" s="34">
        <v>16105</v>
      </c>
      <c r="E129" s="24" t="s">
        <v>547</v>
      </c>
      <c r="F129" s="24" t="s">
        <v>548</v>
      </c>
      <c r="G129" s="25" t="s">
        <v>153</v>
      </c>
      <c r="H129" s="25" t="s">
        <v>63</v>
      </c>
      <c r="I129" s="24" t="s">
        <v>549</v>
      </c>
      <c r="J129" s="25" t="s">
        <v>69</v>
      </c>
      <c r="K129" s="24" t="s">
        <v>104</v>
      </c>
      <c r="L129" s="25" t="s">
        <v>53</v>
      </c>
      <c r="M129" s="26">
        <v>300</v>
      </c>
    </row>
    <row r="130" spans="3:13" ht="30" x14ac:dyDescent="0.25">
      <c r="C130" s="23">
        <v>42339</v>
      </c>
      <c r="D130" s="34">
        <v>16106</v>
      </c>
      <c r="E130" s="24" t="s">
        <v>547</v>
      </c>
      <c r="F130" s="24" t="s">
        <v>550</v>
      </c>
      <c r="G130" s="25" t="s">
        <v>153</v>
      </c>
      <c r="H130" s="25" t="s">
        <v>63</v>
      </c>
      <c r="I130" s="24" t="s">
        <v>549</v>
      </c>
      <c r="J130" s="25" t="s">
        <v>69</v>
      </c>
      <c r="K130" s="24" t="s">
        <v>104</v>
      </c>
      <c r="L130" s="25" t="s">
        <v>53</v>
      </c>
      <c r="M130" s="26">
        <v>300</v>
      </c>
    </row>
    <row r="131" spans="3:13" x14ac:dyDescent="0.25">
      <c r="C131" s="23">
        <v>42369</v>
      </c>
      <c r="D131" s="34" t="s">
        <v>335</v>
      </c>
      <c r="E131" s="24" t="s">
        <v>172</v>
      </c>
      <c r="F131" s="24" t="s">
        <v>336</v>
      </c>
      <c r="G131" s="25" t="s">
        <v>153</v>
      </c>
      <c r="H131" s="25" t="s">
        <v>63</v>
      </c>
      <c r="I131" s="24" t="s">
        <v>104</v>
      </c>
      <c r="J131" s="25" t="s">
        <v>58</v>
      </c>
      <c r="K131" s="24" t="s">
        <v>104</v>
      </c>
      <c r="L131" s="25" t="s">
        <v>53</v>
      </c>
      <c r="M131" s="26">
        <v>860</v>
      </c>
    </row>
    <row r="132" spans="3:13" x14ac:dyDescent="0.25">
      <c r="C132" s="23">
        <v>42369</v>
      </c>
      <c r="D132" s="34" t="s">
        <v>341</v>
      </c>
      <c r="E132" s="24" t="s">
        <v>162</v>
      </c>
      <c r="F132" s="24" t="s">
        <v>342</v>
      </c>
      <c r="G132" s="25" t="s">
        <v>343</v>
      </c>
      <c r="H132" s="25" t="s">
        <v>63</v>
      </c>
      <c r="I132" s="24" t="s">
        <v>104</v>
      </c>
      <c r="J132" s="25" t="s">
        <v>58</v>
      </c>
      <c r="K132" s="24" t="s">
        <v>104</v>
      </c>
      <c r="L132" s="25" t="s">
        <v>53</v>
      </c>
      <c r="M132" s="26">
        <v>1450</v>
      </c>
    </row>
    <row r="133" spans="3:13" x14ac:dyDescent="0.25">
      <c r="C133" s="23">
        <v>42369</v>
      </c>
      <c r="D133" s="34" t="s">
        <v>344</v>
      </c>
      <c r="E133" s="24" t="s">
        <v>161</v>
      </c>
      <c r="F133" s="24" t="s">
        <v>345</v>
      </c>
      <c r="G133" s="25" t="s">
        <v>346</v>
      </c>
      <c r="H133" s="25" t="s">
        <v>63</v>
      </c>
      <c r="I133" s="24" t="s">
        <v>104</v>
      </c>
      <c r="J133" s="25" t="s">
        <v>58</v>
      </c>
      <c r="K133" s="24" t="s">
        <v>104</v>
      </c>
      <c r="L133" s="25" t="s">
        <v>53</v>
      </c>
      <c r="M133" s="26">
        <v>20945.84</v>
      </c>
    </row>
    <row r="134" spans="3:13" x14ac:dyDescent="0.25">
      <c r="C134" s="23">
        <v>42369</v>
      </c>
      <c r="D134" s="34" t="s">
        <v>347</v>
      </c>
      <c r="E134" s="24" t="s">
        <v>160</v>
      </c>
      <c r="F134" s="24" t="s">
        <v>348</v>
      </c>
      <c r="G134" s="25" t="s">
        <v>349</v>
      </c>
      <c r="H134" s="25" t="s">
        <v>63</v>
      </c>
      <c r="I134" s="24" t="s">
        <v>104</v>
      </c>
      <c r="J134" s="25" t="s">
        <v>58</v>
      </c>
      <c r="K134" s="24" t="s">
        <v>104</v>
      </c>
      <c r="L134" s="25" t="s">
        <v>53</v>
      </c>
      <c r="M134" s="26">
        <v>50211.26</v>
      </c>
    </row>
    <row r="135" spans="3:13" ht="30" x14ac:dyDescent="0.25">
      <c r="C135" s="23">
        <v>42339</v>
      </c>
      <c r="D135" s="34">
        <v>16107</v>
      </c>
      <c r="E135" s="24" t="s">
        <v>469</v>
      </c>
      <c r="F135" s="24" t="s">
        <v>551</v>
      </c>
      <c r="G135" s="25" t="s">
        <v>471</v>
      </c>
      <c r="H135" s="25" t="s">
        <v>63</v>
      </c>
      <c r="I135" s="24" t="s">
        <v>542</v>
      </c>
      <c r="J135" s="25" t="s">
        <v>69</v>
      </c>
      <c r="K135" s="24" t="s">
        <v>552</v>
      </c>
      <c r="L135" s="25" t="s">
        <v>53</v>
      </c>
      <c r="M135" s="26">
        <v>10000</v>
      </c>
    </row>
    <row r="136" spans="3:13" ht="30" x14ac:dyDescent="0.25">
      <c r="C136" s="23">
        <v>42424</v>
      </c>
      <c r="D136" s="34">
        <v>16138</v>
      </c>
      <c r="E136" s="24" t="s">
        <v>632</v>
      </c>
      <c r="F136" s="24" t="s">
        <v>633</v>
      </c>
      <c r="G136" s="25" t="s">
        <v>153</v>
      </c>
      <c r="H136" s="25" t="s">
        <v>63</v>
      </c>
      <c r="I136" s="24" t="s">
        <v>211</v>
      </c>
      <c r="J136" s="25" t="s">
        <v>62</v>
      </c>
      <c r="K136" s="24" t="s">
        <v>104</v>
      </c>
      <c r="L136" s="25" t="s">
        <v>197</v>
      </c>
      <c r="M136" s="26">
        <v>354370</v>
      </c>
    </row>
    <row r="137" spans="3:13" ht="30" x14ac:dyDescent="0.25">
      <c r="C137" s="23">
        <v>42408</v>
      </c>
      <c r="D137" s="34">
        <v>15178</v>
      </c>
      <c r="E137" s="24" t="s">
        <v>184</v>
      </c>
      <c r="F137" s="24" t="s">
        <v>210</v>
      </c>
      <c r="G137" s="25" t="s">
        <v>150</v>
      </c>
      <c r="H137" s="25" t="s">
        <v>63</v>
      </c>
      <c r="I137" s="24" t="s">
        <v>473</v>
      </c>
      <c r="J137" s="25" t="s">
        <v>70</v>
      </c>
      <c r="K137" s="24" t="s">
        <v>104</v>
      </c>
      <c r="L137" s="25" t="s">
        <v>53</v>
      </c>
      <c r="M137" s="26">
        <f>133058*90%</f>
        <v>119752.2</v>
      </c>
    </row>
    <row r="138" spans="3:13" ht="30" x14ac:dyDescent="0.25">
      <c r="C138" s="23">
        <v>42408</v>
      </c>
      <c r="D138" s="34">
        <v>15178</v>
      </c>
      <c r="E138" s="24" t="s">
        <v>185</v>
      </c>
      <c r="F138" s="24" t="s">
        <v>210</v>
      </c>
      <c r="G138" s="25" t="s">
        <v>150</v>
      </c>
      <c r="H138" s="25" t="s">
        <v>63</v>
      </c>
      <c r="I138" s="24" t="s">
        <v>473</v>
      </c>
      <c r="J138" s="25" t="s">
        <v>70</v>
      </c>
      <c r="K138" s="24" t="s">
        <v>104</v>
      </c>
      <c r="L138" s="25" t="s">
        <v>53</v>
      </c>
      <c r="M138" s="26">
        <f>133058*10%</f>
        <v>13305.800000000001</v>
      </c>
    </row>
    <row r="139" spans="3:13" ht="30" x14ac:dyDescent="0.25">
      <c r="C139" s="23">
        <v>42425</v>
      </c>
      <c r="D139" s="34">
        <v>16142</v>
      </c>
      <c r="E139" s="24" t="s">
        <v>644</v>
      </c>
      <c r="F139" s="24" t="s">
        <v>645</v>
      </c>
      <c r="G139" s="25" t="s">
        <v>268</v>
      </c>
      <c r="H139" s="25" t="s">
        <v>63</v>
      </c>
      <c r="I139" s="24" t="s">
        <v>542</v>
      </c>
      <c r="J139" s="25" t="s">
        <v>69</v>
      </c>
      <c r="K139" s="24" t="s">
        <v>104</v>
      </c>
      <c r="L139" s="25" t="s">
        <v>53</v>
      </c>
      <c r="M139" s="26">
        <v>260000</v>
      </c>
    </row>
    <row r="140" spans="3:13" ht="30" x14ac:dyDescent="0.25">
      <c r="C140" s="23">
        <v>42412</v>
      </c>
      <c r="D140" s="34">
        <v>16132</v>
      </c>
      <c r="E140" s="24" t="s">
        <v>616</v>
      </c>
      <c r="F140" s="24" t="s">
        <v>617</v>
      </c>
      <c r="G140" s="25" t="s">
        <v>618</v>
      </c>
      <c r="H140" s="25" t="s">
        <v>63</v>
      </c>
      <c r="I140" s="24" t="s">
        <v>467</v>
      </c>
      <c r="J140" s="25" t="s">
        <v>62</v>
      </c>
      <c r="K140" s="24" t="s">
        <v>619</v>
      </c>
      <c r="L140" s="25" t="s">
        <v>52</v>
      </c>
      <c r="M140" s="26">
        <v>349995</v>
      </c>
    </row>
    <row r="141" spans="3:13" ht="30" x14ac:dyDescent="0.25">
      <c r="C141" s="23">
        <v>42424</v>
      </c>
      <c r="D141" s="34">
        <v>16147</v>
      </c>
      <c r="E141" s="24" t="s">
        <v>641</v>
      </c>
      <c r="F141" s="24" t="s">
        <v>642</v>
      </c>
      <c r="G141" s="25" t="s">
        <v>79</v>
      </c>
      <c r="H141" s="25" t="s">
        <v>63</v>
      </c>
      <c r="I141" s="24" t="s">
        <v>643</v>
      </c>
      <c r="J141" s="25" t="s">
        <v>69</v>
      </c>
      <c r="K141" s="24" t="s">
        <v>104</v>
      </c>
      <c r="L141" s="25" t="s">
        <v>198</v>
      </c>
      <c r="M141" s="26">
        <v>1000</v>
      </c>
    </row>
    <row r="142" spans="3:13" x14ac:dyDescent="0.25">
      <c r="C142" s="23">
        <v>42460</v>
      </c>
      <c r="D142" s="34" t="s">
        <v>335</v>
      </c>
      <c r="E142" s="24" t="s">
        <v>172</v>
      </c>
      <c r="F142" s="24" t="s">
        <v>336</v>
      </c>
      <c r="G142" s="25" t="s">
        <v>153</v>
      </c>
      <c r="H142" s="25" t="s">
        <v>63</v>
      </c>
      <c r="I142" s="24" t="s">
        <v>104</v>
      </c>
      <c r="J142" s="25" t="s">
        <v>58</v>
      </c>
      <c r="K142" s="24" t="s">
        <v>104</v>
      </c>
      <c r="L142" s="25" t="s">
        <v>53</v>
      </c>
      <c r="M142" s="26">
        <v>1610</v>
      </c>
    </row>
    <row r="143" spans="3:13" x14ac:dyDescent="0.25">
      <c r="C143" s="23">
        <v>42460</v>
      </c>
      <c r="D143" s="34" t="s">
        <v>663</v>
      </c>
      <c r="E143" s="24" t="s">
        <v>115</v>
      </c>
      <c r="F143" s="24" t="s">
        <v>664</v>
      </c>
      <c r="G143" s="25" t="s">
        <v>665</v>
      </c>
      <c r="H143" s="25" t="s">
        <v>63</v>
      </c>
      <c r="I143" s="24" t="s">
        <v>104</v>
      </c>
      <c r="J143" s="25" t="s">
        <v>58</v>
      </c>
      <c r="K143" s="24" t="s">
        <v>104</v>
      </c>
      <c r="L143" s="25" t="s">
        <v>53</v>
      </c>
      <c r="M143" s="26">
        <v>35523.54</v>
      </c>
    </row>
    <row r="144" spans="3:13" x14ac:dyDescent="0.25">
      <c r="C144" s="23">
        <v>42460</v>
      </c>
      <c r="D144" s="34" t="s">
        <v>341</v>
      </c>
      <c r="E144" s="24" t="s">
        <v>162</v>
      </c>
      <c r="F144" s="24" t="s">
        <v>342</v>
      </c>
      <c r="G144" s="25" t="s">
        <v>343</v>
      </c>
      <c r="H144" s="25" t="s">
        <v>63</v>
      </c>
      <c r="I144" s="24" t="s">
        <v>104</v>
      </c>
      <c r="J144" s="25" t="s">
        <v>58</v>
      </c>
      <c r="K144" s="24" t="s">
        <v>104</v>
      </c>
      <c r="L144" s="25" t="s">
        <v>53</v>
      </c>
      <c r="M144" s="26">
        <v>39650</v>
      </c>
    </row>
    <row r="145" spans="3:13" x14ac:dyDescent="0.25">
      <c r="C145" s="23">
        <v>42460</v>
      </c>
      <c r="D145" s="34" t="s">
        <v>344</v>
      </c>
      <c r="E145" s="24" t="s">
        <v>161</v>
      </c>
      <c r="F145" s="24" t="s">
        <v>345</v>
      </c>
      <c r="G145" s="25" t="s">
        <v>346</v>
      </c>
      <c r="H145" s="25" t="s">
        <v>63</v>
      </c>
      <c r="I145" s="24" t="s">
        <v>104</v>
      </c>
      <c r="J145" s="25" t="s">
        <v>58</v>
      </c>
      <c r="K145" s="24" t="s">
        <v>104</v>
      </c>
      <c r="L145" s="25" t="s">
        <v>53</v>
      </c>
      <c r="M145" s="26">
        <v>12971.529999999999</v>
      </c>
    </row>
    <row r="146" spans="3:13" x14ac:dyDescent="0.25">
      <c r="C146" s="23">
        <v>42460</v>
      </c>
      <c r="D146" s="34" t="s">
        <v>347</v>
      </c>
      <c r="E146" s="24" t="s">
        <v>160</v>
      </c>
      <c r="F146" s="24" t="s">
        <v>348</v>
      </c>
      <c r="G146" s="25" t="s">
        <v>349</v>
      </c>
      <c r="H146" s="25" t="s">
        <v>63</v>
      </c>
      <c r="I146" s="24" t="s">
        <v>104</v>
      </c>
      <c r="J146" s="25" t="s">
        <v>58</v>
      </c>
      <c r="K146" s="24" t="s">
        <v>104</v>
      </c>
      <c r="L146" s="25" t="s">
        <v>53</v>
      </c>
      <c r="M146" s="26">
        <v>24614.639999999999</v>
      </c>
    </row>
    <row r="147" spans="3:13" ht="30" x14ac:dyDescent="0.25">
      <c r="C147" s="29">
        <v>42472</v>
      </c>
      <c r="D147" s="33">
        <v>16159</v>
      </c>
      <c r="E147" s="16" t="s">
        <v>547</v>
      </c>
      <c r="F147" s="16" t="s">
        <v>674</v>
      </c>
      <c r="G147" s="28" t="s">
        <v>153</v>
      </c>
      <c r="H147" s="28" t="s">
        <v>63</v>
      </c>
      <c r="I147" s="16" t="s">
        <v>675</v>
      </c>
      <c r="J147" s="28" t="s">
        <v>69</v>
      </c>
      <c r="K147" s="16" t="s">
        <v>104</v>
      </c>
      <c r="L147" s="28" t="s">
        <v>53</v>
      </c>
      <c r="M147" s="31">
        <v>5000</v>
      </c>
    </row>
    <row r="148" spans="3:13" ht="30" x14ac:dyDescent="0.25">
      <c r="C148" s="23">
        <v>42488</v>
      </c>
      <c r="D148" s="34">
        <v>14201</v>
      </c>
      <c r="E148" s="16" t="s">
        <v>184</v>
      </c>
      <c r="F148" s="16" t="s">
        <v>220</v>
      </c>
      <c r="G148" s="28" t="s">
        <v>150</v>
      </c>
      <c r="H148" s="28" t="s">
        <v>63</v>
      </c>
      <c r="I148" s="16" t="s">
        <v>473</v>
      </c>
      <c r="J148" s="28" t="s">
        <v>70</v>
      </c>
      <c r="K148" s="16" t="s">
        <v>104</v>
      </c>
      <c r="L148" s="28" t="s">
        <v>53</v>
      </c>
      <c r="M148" s="31">
        <f>45927*90%</f>
        <v>41334.300000000003</v>
      </c>
    </row>
    <row r="149" spans="3:13" ht="30" x14ac:dyDescent="0.25">
      <c r="C149" s="23">
        <v>42488</v>
      </c>
      <c r="D149" s="34">
        <v>14201</v>
      </c>
      <c r="E149" s="16" t="s">
        <v>185</v>
      </c>
      <c r="F149" s="16" t="s">
        <v>220</v>
      </c>
      <c r="G149" s="28" t="s">
        <v>150</v>
      </c>
      <c r="H149" s="28" t="s">
        <v>63</v>
      </c>
      <c r="I149" s="16" t="s">
        <v>473</v>
      </c>
      <c r="J149" s="28" t="s">
        <v>70</v>
      </c>
      <c r="K149" s="16" t="s">
        <v>104</v>
      </c>
      <c r="L149" s="28" t="s">
        <v>53</v>
      </c>
      <c r="M149" s="31">
        <f>45927*10%</f>
        <v>4592.7</v>
      </c>
    </row>
    <row r="150" spans="3:13" ht="30" x14ac:dyDescent="0.25">
      <c r="C150" s="23">
        <v>42488</v>
      </c>
      <c r="D150" s="34">
        <v>16031</v>
      </c>
      <c r="E150" s="24" t="s">
        <v>469</v>
      </c>
      <c r="F150" s="24" t="s">
        <v>470</v>
      </c>
      <c r="G150" s="25" t="s">
        <v>471</v>
      </c>
      <c r="H150" s="25" t="s">
        <v>63</v>
      </c>
      <c r="I150" s="24" t="s">
        <v>472</v>
      </c>
      <c r="J150" s="25" t="s">
        <v>70</v>
      </c>
      <c r="K150" s="24" t="s">
        <v>104</v>
      </c>
      <c r="L150" s="25" t="s">
        <v>53</v>
      </c>
      <c r="M150" s="26">
        <f>131768/2</f>
        <v>65884</v>
      </c>
    </row>
    <row r="151" spans="3:13" ht="30" x14ac:dyDescent="0.25">
      <c r="C151" s="23">
        <v>42488</v>
      </c>
      <c r="D151" s="34">
        <v>16031</v>
      </c>
      <c r="E151" s="24" t="s">
        <v>694</v>
      </c>
      <c r="F151" s="24" t="s">
        <v>470</v>
      </c>
      <c r="G151" s="25" t="s">
        <v>471</v>
      </c>
      <c r="H151" s="25" t="s">
        <v>63</v>
      </c>
      <c r="I151" s="24" t="s">
        <v>472</v>
      </c>
      <c r="J151" s="25" t="s">
        <v>70</v>
      </c>
      <c r="K151" s="24" t="s">
        <v>104</v>
      </c>
      <c r="L151" s="25" t="s">
        <v>53</v>
      </c>
      <c r="M151" s="26">
        <f>131768/2</f>
        <v>65884</v>
      </c>
    </row>
    <row r="152" spans="3:13" ht="45" x14ac:dyDescent="0.25">
      <c r="C152" s="23">
        <v>42514</v>
      </c>
      <c r="D152" s="34">
        <v>16183</v>
      </c>
      <c r="E152" s="24" t="s">
        <v>217</v>
      </c>
      <c r="F152" s="24" t="s">
        <v>218</v>
      </c>
      <c r="G152" s="25" t="s">
        <v>150</v>
      </c>
      <c r="H152" s="25" t="s">
        <v>63</v>
      </c>
      <c r="I152" s="24" t="s">
        <v>96</v>
      </c>
      <c r="J152" s="25" t="s">
        <v>62</v>
      </c>
      <c r="K152" s="24" t="s">
        <v>77</v>
      </c>
      <c r="L152" s="25" t="s">
        <v>53</v>
      </c>
      <c r="M152" s="26">
        <v>15105</v>
      </c>
    </row>
    <row r="153" spans="3:13" ht="45" x14ac:dyDescent="0.25">
      <c r="C153" s="23">
        <v>42514</v>
      </c>
      <c r="D153" s="34">
        <v>16183</v>
      </c>
      <c r="E153" s="24" t="s">
        <v>160</v>
      </c>
      <c r="F153" s="24" t="s">
        <v>218</v>
      </c>
      <c r="G153" s="25" t="s">
        <v>150</v>
      </c>
      <c r="H153" s="25" t="s">
        <v>63</v>
      </c>
      <c r="I153" s="24" t="s">
        <v>96</v>
      </c>
      <c r="J153" s="25" t="s">
        <v>62</v>
      </c>
      <c r="K153" s="24" t="s">
        <v>77</v>
      </c>
      <c r="L153" s="25" t="s">
        <v>53</v>
      </c>
      <c r="M153" s="26">
        <v>15105</v>
      </c>
    </row>
    <row r="154" spans="3:13" ht="30" x14ac:dyDescent="0.25">
      <c r="C154" s="23">
        <v>42521</v>
      </c>
      <c r="D154" s="34">
        <v>16186</v>
      </c>
      <c r="E154" s="24" t="s">
        <v>338</v>
      </c>
      <c r="F154" s="24" t="s">
        <v>724</v>
      </c>
      <c r="G154" s="25" t="s">
        <v>340</v>
      </c>
      <c r="H154" s="25" t="s">
        <v>63</v>
      </c>
      <c r="I154" s="24" t="s">
        <v>473</v>
      </c>
      <c r="J154" s="25" t="s">
        <v>70</v>
      </c>
      <c r="K154" s="24" t="s">
        <v>104</v>
      </c>
      <c r="L154" s="25" t="s">
        <v>198</v>
      </c>
      <c r="M154" s="26">
        <v>13399</v>
      </c>
    </row>
    <row r="155" spans="3:13" ht="30" x14ac:dyDescent="0.25">
      <c r="C155" s="23">
        <v>42521</v>
      </c>
      <c r="D155" s="34">
        <v>16186</v>
      </c>
      <c r="E155" s="24" t="s">
        <v>723</v>
      </c>
      <c r="F155" s="24" t="s">
        <v>724</v>
      </c>
      <c r="G155" s="25" t="s">
        <v>340</v>
      </c>
      <c r="H155" s="25" t="s">
        <v>63</v>
      </c>
      <c r="I155" s="24" t="s">
        <v>473</v>
      </c>
      <c r="J155" s="25" t="s">
        <v>70</v>
      </c>
      <c r="K155" s="24" t="s">
        <v>104</v>
      </c>
      <c r="L155" s="25" t="s">
        <v>198</v>
      </c>
      <c r="M155" s="26">
        <v>13399</v>
      </c>
    </row>
    <row r="156" spans="3:13" ht="30" x14ac:dyDescent="0.25">
      <c r="C156" s="23">
        <v>42514</v>
      </c>
      <c r="D156" s="34">
        <v>16184</v>
      </c>
      <c r="E156" s="24" t="s">
        <v>115</v>
      </c>
      <c r="F156" s="24" t="s">
        <v>715</v>
      </c>
      <c r="G156" s="25" t="s">
        <v>79</v>
      </c>
      <c r="H156" s="25" t="s">
        <v>63</v>
      </c>
      <c r="I156" s="24" t="s">
        <v>80</v>
      </c>
      <c r="J156" s="25" t="s">
        <v>58</v>
      </c>
      <c r="K156" s="24" t="s">
        <v>104</v>
      </c>
      <c r="L156" s="25" t="s">
        <v>52</v>
      </c>
      <c r="M156" s="26">
        <v>33088</v>
      </c>
    </row>
    <row r="157" spans="3:13" ht="45" x14ac:dyDescent="0.25">
      <c r="C157" s="23">
        <v>42502</v>
      </c>
      <c r="D157" s="34">
        <v>16173</v>
      </c>
      <c r="E157" s="24" t="s">
        <v>144</v>
      </c>
      <c r="F157" s="24" t="s">
        <v>701</v>
      </c>
      <c r="G157" s="25" t="s">
        <v>471</v>
      </c>
      <c r="H157" s="25" t="s">
        <v>63</v>
      </c>
      <c r="I157" s="24" t="s">
        <v>467</v>
      </c>
      <c r="J157" s="25" t="s">
        <v>62</v>
      </c>
      <c r="K157" s="24" t="s">
        <v>473</v>
      </c>
      <c r="L157" s="25" t="s">
        <v>52</v>
      </c>
      <c r="M157" s="26">
        <v>197603</v>
      </c>
    </row>
    <row r="158" spans="3:13" ht="45" x14ac:dyDescent="0.25">
      <c r="C158" s="23">
        <v>42523</v>
      </c>
      <c r="D158" s="34">
        <v>16187</v>
      </c>
      <c r="E158" s="24" t="s">
        <v>217</v>
      </c>
      <c r="F158" s="24" t="s">
        <v>726</v>
      </c>
      <c r="G158" s="25" t="s">
        <v>150</v>
      </c>
      <c r="H158" s="25" t="s">
        <v>63</v>
      </c>
      <c r="I158" s="24" t="s">
        <v>96</v>
      </c>
      <c r="J158" s="25" t="s">
        <v>62</v>
      </c>
      <c r="K158" s="24" t="s">
        <v>77</v>
      </c>
      <c r="L158" s="25" t="s">
        <v>52</v>
      </c>
      <c r="M158" s="26">
        <f>77648/2</f>
        <v>38824</v>
      </c>
    </row>
    <row r="159" spans="3:13" ht="45" x14ac:dyDescent="0.25">
      <c r="C159" s="23">
        <v>42541</v>
      </c>
      <c r="D159" s="34">
        <v>16194</v>
      </c>
      <c r="E159" s="24" t="s">
        <v>186</v>
      </c>
      <c r="F159" s="24" t="s">
        <v>733</v>
      </c>
      <c r="G159" s="25" t="s">
        <v>150</v>
      </c>
      <c r="H159" s="25" t="s">
        <v>63</v>
      </c>
      <c r="I159" s="24" t="s">
        <v>96</v>
      </c>
      <c r="J159" s="25" t="s">
        <v>62</v>
      </c>
      <c r="K159" s="24" t="s">
        <v>77</v>
      </c>
      <c r="L159" s="25" t="s">
        <v>52</v>
      </c>
      <c r="M159" s="26">
        <v>952</v>
      </c>
    </row>
    <row r="160" spans="3:13" ht="45" x14ac:dyDescent="0.25">
      <c r="C160" s="23">
        <v>42541</v>
      </c>
      <c r="D160" s="34">
        <v>16194</v>
      </c>
      <c r="E160" s="24" t="s">
        <v>221</v>
      </c>
      <c r="F160" s="24" t="s">
        <v>733</v>
      </c>
      <c r="G160" s="25" t="s">
        <v>150</v>
      </c>
      <c r="H160" s="25" t="s">
        <v>63</v>
      </c>
      <c r="I160" s="24" t="s">
        <v>96</v>
      </c>
      <c r="J160" s="25" t="s">
        <v>62</v>
      </c>
      <c r="K160" s="24" t="s">
        <v>77</v>
      </c>
      <c r="L160" s="25" t="s">
        <v>52</v>
      </c>
      <c r="M160" s="26">
        <v>18094</v>
      </c>
    </row>
    <row r="161" spans="1:13" ht="45" x14ac:dyDescent="0.25">
      <c r="C161" s="23">
        <v>42523</v>
      </c>
      <c r="D161" s="34">
        <v>16187</v>
      </c>
      <c r="E161" s="24" t="s">
        <v>185</v>
      </c>
      <c r="F161" s="24" t="s">
        <v>726</v>
      </c>
      <c r="G161" s="25" t="s">
        <v>150</v>
      </c>
      <c r="H161" s="25" t="s">
        <v>63</v>
      </c>
      <c r="I161" s="24" t="s">
        <v>96</v>
      </c>
      <c r="J161" s="25" t="s">
        <v>62</v>
      </c>
      <c r="K161" s="24" t="s">
        <v>77</v>
      </c>
      <c r="L161" s="25" t="s">
        <v>52</v>
      </c>
      <c r="M161" s="26">
        <f>77648/2</f>
        <v>38824</v>
      </c>
    </row>
    <row r="162" spans="1:13" ht="30" x14ac:dyDescent="0.25">
      <c r="C162" s="23">
        <v>42535</v>
      </c>
      <c r="D162" s="34">
        <v>16193</v>
      </c>
      <c r="E162" s="24" t="s">
        <v>731</v>
      </c>
      <c r="F162" s="24" t="s">
        <v>732</v>
      </c>
      <c r="G162" s="25" t="s">
        <v>268</v>
      </c>
      <c r="H162" s="25" t="s">
        <v>63</v>
      </c>
      <c r="I162" s="24" t="s">
        <v>211</v>
      </c>
      <c r="J162" s="25" t="s">
        <v>62</v>
      </c>
      <c r="K162" s="24" t="s">
        <v>104</v>
      </c>
      <c r="L162" s="25" t="s">
        <v>197</v>
      </c>
      <c r="M162" s="26">
        <v>210735</v>
      </c>
    </row>
    <row r="163" spans="1:13" x14ac:dyDescent="0.25">
      <c r="C163" s="29">
        <v>42551</v>
      </c>
      <c r="D163" s="34" t="s">
        <v>335</v>
      </c>
      <c r="E163" s="24" t="s">
        <v>172</v>
      </c>
      <c r="F163" s="24" t="s">
        <v>735</v>
      </c>
      <c r="G163" s="25" t="s">
        <v>153</v>
      </c>
      <c r="H163" s="25" t="s">
        <v>63</v>
      </c>
      <c r="I163" s="16" t="s">
        <v>104</v>
      </c>
      <c r="J163" s="28" t="s">
        <v>58</v>
      </c>
      <c r="K163" s="16" t="s">
        <v>104</v>
      </c>
      <c r="L163" s="25" t="s">
        <v>53</v>
      </c>
      <c r="M163" s="26">
        <v>1815</v>
      </c>
    </row>
    <row r="164" spans="1:13" x14ac:dyDescent="0.25">
      <c r="C164" s="29">
        <v>42551</v>
      </c>
      <c r="D164" s="34" t="s">
        <v>663</v>
      </c>
      <c r="E164" s="24" t="s">
        <v>115</v>
      </c>
      <c r="F164" s="24" t="s">
        <v>735</v>
      </c>
      <c r="G164" s="25" t="s">
        <v>665</v>
      </c>
      <c r="H164" s="25" t="s">
        <v>63</v>
      </c>
      <c r="I164" s="16" t="s">
        <v>104</v>
      </c>
      <c r="J164" s="28" t="s">
        <v>58</v>
      </c>
      <c r="K164" s="16" t="s">
        <v>104</v>
      </c>
      <c r="L164" s="25" t="s">
        <v>53</v>
      </c>
      <c r="M164" s="26">
        <v>16561.77</v>
      </c>
    </row>
    <row r="165" spans="1:13" x14ac:dyDescent="0.25">
      <c r="C165" s="29">
        <v>42551</v>
      </c>
      <c r="D165" s="34" t="s">
        <v>341</v>
      </c>
      <c r="E165" s="24" t="s">
        <v>162</v>
      </c>
      <c r="F165" s="24" t="s">
        <v>735</v>
      </c>
      <c r="G165" s="25" t="s">
        <v>343</v>
      </c>
      <c r="H165" s="25" t="s">
        <v>63</v>
      </c>
      <c r="I165" s="16" t="s">
        <v>104</v>
      </c>
      <c r="J165" s="28" t="s">
        <v>58</v>
      </c>
      <c r="K165" s="16" t="s">
        <v>104</v>
      </c>
      <c r="L165" s="25" t="s">
        <v>53</v>
      </c>
      <c r="M165" s="26">
        <v>6100</v>
      </c>
    </row>
    <row r="166" spans="1:13" x14ac:dyDescent="0.25">
      <c r="C166" s="29">
        <v>42551</v>
      </c>
      <c r="D166" s="34" t="s">
        <v>344</v>
      </c>
      <c r="E166" s="24" t="s">
        <v>161</v>
      </c>
      <c r="F166" s="24" t="s">
        <v>735</v>
      </c>
      <c r="G166" s="25" t="s">
        <v>346</v>
      </c>
      <c r="H166" s="25" t="s">
        <v>63</v>
      </c>
      <c r="I166" s="16" t="s">
        <v>104</v>
      </c>
      <c r="J166" s="28" t="s">
        <v>58</v>
      </c>
      <c r="K166" s="16" t="s">
        <v>104</v>
      </c>
      <c r="L166" s="25" t="s">
        <v>53</v>
      </c>
      <c r="M166" s="26">
        <v>16258.929999999997</v>
      </c>
    </row>
    <row r="167" spans="1:13" x14ac:dyDescent="0.25">
      <c r="C167" s="29">
        <v>42551</v>
      </c>
      <c r="D167" s="34" t="s">
        <v>347</v>
      </c>
      <c r="E167" s="24" t="s">
        <v>160</v>
      </c>
      <c r="F167" s="24" t="s">
        <v>735</v>
      </c>
      <c r="G167" s="25" t="s">
        <v>349</v>
      </c>
      <c r="H167" s="25" t="s">
        <v>63</v>
      </c>
      <c r="I167" s="16" t="s">
        <v>104</v>
      </c>
      <c r="J167" s="28" t="s">
        <v>58</v>
      </c>
      <c r="K167" s="16" t="s">
        <v>104</v>
      </c>
      <c r="L167" s="25" t="s">
        <v>53</v>
      </c>
      <c r="M167" s="26">
        <v>82428.290000000008</v>
      </c>
    </row>
    <row r="168" spans="1:13" x14ac:dyDescent="0.25">
      <c r="C168" s="54"/>
      <c r="D168" s="73"/>
      <c r="E168" s="55"/>
      <c r="F168" s="56"/>
      <c r="G168" s="57"/>
      <c r="H168" s="57"/>
      <c r="I168" s="56"/>
      <c r="J168" s="57"/>
      <c r="K168" s="36"/>
      <c r="L168" s="57"/>
      <c r="M168" s="86"/>
    </row>
    <row r="169" spans="1:13" ht="21" x14ac:dyDescent="0.25">
      <c r="A169" s="58"/>
      <c r="B169" s="59" t="s">
        <v>22</v>
      </c>
      <c r="C169" s="60"/>
      <c r="D169" s="61"/>
      <c r="E169" s="62"/>
      <c r="F169" s="63"/>
      <c r="G169" s="64"/>
      <c r="H169" s="64"/>
      <c r="I169" s="65" t="s">
        <v>1</v>
      </c>
      <c r="J169" s="64">
        <f>COUNT(M171:M172)</f>
        <v>0</v>
      </c>
      <c r="K169" s="81"/>
      <c r="L169" s="66" t="s">
        <v>0</v>
      </c>
      <c r="M169" s="67">
        <f>SUM(M171:M172)</f>
        <v>0</v>
      </c>
    </row>
    <row r="170" spans="1:13" ht="37.5" x14ac:dyDescent="0.25">
      <c r="A170" s="80"/>
      <c r="B170" s="80"/>
      <c r="C170" s="47" t="s">
        <v>2</v>
      </c>
      <c r="D170" s="48" t="s">
        <v>3</v>
      </c>
      <c r="E170" s="49" t="s">
        <v>4</v>
      </c>
      <c r="F170" s="50" t="s">
        <v>5</v>
      </c>
      <c r="G170" s="51" t="s">
        <v>6</v>
      </c>
      <c r="H170" s="51" t="s">
        <v>7</v>
      </c>
      <c r="I170" s="50" t="s">
        <v>8</v>
      </c>
      <c r="J170" s="50" t="s">
        <v>9</v>
      </c>
      <c r="K170" s="50" t="s">
        <v>10</v>
      </c>
      <c r="L170" s="51" t="s">
        <v>11</v>
      </c>
      <c r="M170" s="52" t="s">
        <v>12</v>
      </c>
    </row>
    <row r="171" spans="1:13" x14ac:dyDescent="0.25">
      <c r="C171" s="70"/>
      <c r="D171" s="71"/>
      <c r="E171" s="56"/>
      <c r="F171" s="56"/>
      <c r="G171" s="68"/>
      <c r="H171" s="68"/>
      <c r="I171" s="56"/>
      <c r="J171" s="68"/>
      <c r="K171" s="36"/>
      <c r="L171" s="68"/>
      <c r="M171" s="86"/>
    </row>
    <row r="172" spans="1:13" x14ac:dyDescent="0.25">
      <c r="C172" s="70"/>
      <c r="D172" s="71"/>
      <c r="E172" s="72"/>
      <c r="F172" s="56"/>
      <c r="G172" s="68"/>
      <c r="H172" s="68"/>
      <c r="I172" s="56"/>
      <c r="J172" s="68"/>
      <c r="K172" s="36"/>
      <c r="L172" s="68"/>
      <c r="M172" s="86"/>
    </row>
    <row r="173" spans="1:13" ht="21" x14ac:dyDescent="0.25">
      <c r="A173" s="37" t="s">
        <v>30</v>
      </c>
      <c r="B173" s="37"/>
      <c r="C173" s="38"/>
      <c r="D173" s="39"/>
      <c r="E173" s="40"/>
      <c r="F173" s="41"/>
      <c r="G173" s="42"/>
      <c r="H173" s="42"/>
      <c r="I173" s="43" t="s">
        <v>1</v>
      </c>
      <c r="J173" s="42">
        <f>J174+J187+J198+J202+J194</f>
        <v>19</v>
      </c>
      <c r="K173" s="83"/>
      <c r="L173" s="44" t="s">
        <v>0</v>
      </c>
      <c r="M173" s="45">
        <f>M174+M187+M198+M202+M194</f>
        <v>828628.18</v>
      </c>
    </row>
    <row r="174" spans="1:13" ht="21" x14ac:dyDescent="0.25">
      <c r="B174" s="59" t="s">
        <v>30</v>
      </c>
      <c r="C174" s="60"/>
      <c r="D174" s="61"/>
      <c r="E174" s="62"/>
      <c r="F174" s="63"/>
      <c r="G174" s="64"/>
      <c r="H174" s="64"/>
      <c r="I174" s="65" t="s">
        <v>1</v>
      </c>
      <c r="J174" s="64">
        <f>COUNT(M176:M186)</f>
        <v>10</v>
      </c>
      <c r="K174" s="81"/>
      <c r="L174" s="66" t="s">
        <v>0</v>
      </c>
      <c r="M174" s="67">
        <f>SUM(M176:M186)</f>
        <v>746170.20000000007</v>
      </c>
    </row>
    <row r="175" spans="1:13" ht="37.5" x14ac:dyDescent="0.25">
      <c r="A175" s="80"/>
      <c r="B175" s="80"/>
      <c r="C175" s="47" t="s">
        <v>2</v>
      </c>
      <c r="D175" s="48" t="s">
        <v>3</v>
      </c>
      <c r="E175" s="49" t="s">
        <v>4</v>
      </c>
      <c r="F175" s="50" t="s">
        <v>5</v>
      </c>
      <c r="G175" s="51" t="s">
        <v>6</v>
      </c>
      <c r="H175" s="51" t="s">
        <v>7</v>
      </c>
      <c r="I175" s="50" t="s">
        <v>8</v>
      </c>
      <c r="J175" s="50" t="s">
        <v>9</v>
      </c>
      <c r="K175" s="50" t="s">
        <v>10</v>
      </c>
      <c r="L175" s="51" t="s">
        <v>11</v>
      </c>
      <c r="M175" s="52" t="s">
        <v>12</v>
      </c>
    </row>
    <row r="176" spans="1:13" ht="30" x14ac:dyDescent="0.25">
      <c r="C176" s="54">
        <v>42200</v>
      </c>
      <c r="D176" s="9">
        <v>16005</v>
      </c>
      <c r="E176" s="56" t="s">
        <v>237</v>
      </c>
      <c r="F176" s="56" t="s">
        <v>238</v>
      </c>
      <c r="G176" s="57" t="s">
        <v>196</v>
      </c>
      <c r="H176" s="68" t="s">
        <v>74</v>
      </c>
      <c r="I176" s="56" t="s">
        <v>75</v>
      </c>
      <c r="J176" s="68" t="s">
        <v>62</v>
      </c>
      <c r="K176" s="56" t="s">
        <v>104</v>
      </c>
      <c r="L176" s="85" t="s">
        <v>197</v>
      </c>
      <c r="M176" s="69">
        <v>24939</v>
      </c>
    </row>
    <row r="177" spans="1:13" ht="30" x14ac:dyDescent="0.25">
      <c r="C177" s="54">
        <v>42240</v>
      </c>
      <c r="D177" s="9">
        <v>16045</v>
      </c>
      <c r="E177" s="56" t="s">
        <v>273</v>
      </c>
      <c r="F177" s="56" t="s">
        <v>274</v>
      </c>
      <c r="G177" s="57" t="s">
        <v>223</v>
      </c>
      <c r="H177" s="68" t="s">
        <v>74</v>
      </c>
      <c r="I177" s="56" t="s">
        <v>275</v>
      </c>
      <c r="J177" s="68" t="s">
        <v>105</v>
      </c>
      <c r="K177" s="56" t="s">
        <v>104</v>
      </c>
      <c r="L177" s="85" t="s">
        <v>53</v>
      </c>
      <c r="M177" s="69">
        <v>20000</v>
      </c>
    </row>
    <row r="178" spans="1:13" ht="30" x14ac:dyDescent="0.25">
      <c r="C178" s="23">
        <v>42309</v>
      </c>
      <c r="D178" s="34">
        <v>16087</v>
      </c>
      <c r="E178" s="24" t="s">
        <v>490</v>
      </c>
      <c r="F178" s="24" t="s">
        <v>491</v>
      </c>
      <c r="G178" s="25" t="s">
        <v>492</v>
      </c>
      <c r="H178" s="25" t="s">
        <v>74</v>
      </c>
      <c r="I178" s="24" t="s">
        <v>75</v>
      </c>
      <c r="J178" s="25" t="s">
        <v>62</v>
      </c>
      <c r="K178" s="24" t="s">
        <v>104</v>
      </c>
      <c r="L178" s="25" t="s">
        <v>197</v>
      </c>
      <c r="M178" s="26">
        <f>121876*30%</f>
        <v>36562.799999999996</v>
      </c>
    </row>
    <row r="179" spans="1:13" ht="60" x14ac:dyDescent="0.25">
      <c r="C179" s="23">
        <v>42312</v>
      </c>
      <c r="D179" s="34">
        <v>16080</v>
      </c>
      <c r="E179" s="24" t="s">
        <v>506</v>
      </c>
      <c r="F179" s="24" t="s">
        <v>507</v>
      </c>
      <c r="G179" s="25" t="s">
        <v>196</v>
      </c>
      <c r="H179" s="25" t="s">
        <v>74</v>
      </c>
      <c r="I179" s="24" t="s">
        <v>508</v>
      </c>
      <c r="J179" s="25" t="s">
        <v>62</v>
      </c>
      <c r="K179" s="24" t="s">
        <v>509</v>
      </c>
      <c r="L179" s="25" t="s">
        <v>197</v>
      </c>
      <c r="M179" s="26">
        <v>10173</v>
      </c>
    </row>
    <row r="180" spans="1:13" ht="45" x14ac:dyDescent="0.25">
      <c r="C180" s="23">
        <v>42310</v>
      </c>
      <c r="D180" s="34">
        <v>16077</v>
      </c>
      <c r="E180" s="24" t="s">
        <v>501</v>
      </c>
      <c r="F180" s="24" t="s">
        <v>502</v>
      </c>
      <c r="G180" s="25" t="s">
        <v>503</v>
      </c>
      <c r="H180" s="25" t="s">
        <v>74</v>
      </c>
      <c r="I180" s="24" t="s">
        <v>504</v>
      </c>
      <c r="J180" s="25" t="s">
        <v>69</v>
      </c>
      <c r="K180" s="24" t="s">
        <v>104</v>
      </c>
      <c r="L180" s="25" t="s">
        <v>52</v>
      </c>
      <c r="M180" s="26">
        <f>29839*60%</f>
        <v>17903.399999999998</v>
      </c>
    </row>
    <row r="181" spans="1:13" ht="45" x14ac:dyDescent="0.25">
      <c r="C181" s="23">
        <v>42310</v>
      </c>
      <c r="D181" s="34">
        <v>16077</v>
      </c>
      <c r="E181" s="24" t="s">
        <v>505</v>
      </c>
      <c r="F181" s="24" t="s">
        <v>502</v>
      </c>
      <c r="G181" s="25" t="s">
        <v>503</v>
      </c>
      <c r="H181" s="25" t="s">
        <v>74</v>
      </c>
      <c r="I181" s="24" t="s">
        <v>504</v>
      </c>
      <c r="J181" s="25" t="s">
        <v>69</v>
      </c>
      <c r="K181" s="24" t="s">
        <v>104</v>
      </c>
      <c r="L181" s="25" t="s">
        <v>52</v>
      </c>
      <c r="M181" s="26">
        <f>29839*40%</f>
        <v>11935.6</v>
      </c>
    </row>
    <row r="182" spans="1:13" ht="30" x14ac:dyDescent="0.25">
      <c r="C182" s="23">
        <v>42424</v>
      </c>
      <c r="D182" s="34">
        <v>16146</v>
      </c>
      <c r="E182" s="24" t="s">
        <v>195</v>
      </c>
      <c r="F182" s="24" t="s">
        <v>639</v>
      </c>
      <c r="G182" s="25" t="s">
        <v>196</v>
      </c>
      <c r="H182" s="25" t="s">
        <v>74</v>
      </c>
      <c r="I182" s="24" t="s">
        <v>640</v>
      </c>
      <c r="J182" s="25" t="s">
        <v>55</v>
      </c>
      <c r="K182" s="24" t="s">
        <v>104</v>
      </c>
      <c r="L182" s="25" t="s">
        <v>197</v>
      </c>
      <c r="M182" s="26">
        <v>5158</v>
      </c>
    </row>
    <row r="183" spans="1:13" ht="30" x14ac:dyDescent="0.25">
      <c r="C183" s="23">
        <v>42502</v>
      </c>
      <c r="D183" s="34">
        <v>16179</v>
      </c>
      <c r="E183" s="24" t="s">
        <v>707</v>
      </c>
      <c r="F183" s="24" t="s">
        <v>705</v>
      </c>
      <c r="G183" s="25" t="s">
        <v>475</v>
      </c>
      <c r="H183" s="25" t="s">
        <v>74</v>
      </c>
      <c r="I183" s="24" t="s">
        <v>706</v>
      </c>
      <c r="J183" s="25" t="s">
        <v>62</v>
      </c>
      <c r="K183" s="24" t="s">
        <v>104</v>
      </c>
      <c r="L183" s="25" t="s">
        <v>197</v>
      </c>
      <c r="M183" s="26">
        <f>774373*20%</f>
        <v>154874.6</v>
      </c>
    </row>
    <row r="184" spans="1:13" ht="30" x14ac:dyDescent="0.25">
      <c r="C184" s="23">
        <v>42502</v>
      </c>
      <c r="D184" s="34">
        <v>16179</v>
      </c>
      <c r="E184" s="24" t="s">
        <v>474</v>
      </c>
      <c r="F184" s="24" t="s">
        <v>705</v>
      </c>
      <c r="G184" s="25" t="s">
        <v>475</v>
      </c>
      <c r="H184" s="25" t="s">
        <v>74</v>
      </c>
      <c r="I184" s="24" t="s">
        <v>706</v>
      </c>
      <c r="J184" s="25" t="s">
        <v>62</v>
      </c>
      <c r="K184" s="24" t="s">
        <v>104</v>
      </c>
      <c r="L184" s="25" t="s">
        <v>197</v>
      </c>
      <c r="M184" s="26">
        <f>774373*30%</f>
        <v>232311.9</v>
      </c>
    </row>
    <row r="185" spans="1:13" ht="30" x14ac:dyDescent="0.25">
      <c r="C185" s="23">
        <v>42502</v>
      </c>
      <c r="D185" s="34">
        <v>16179</v>
      </c>
      <c r="E185" s="24" t="s">
        <v>201</v>
      </c>
      <c r="F185" s="24" t="s">
        <v>705</v>
      </c>
      <c r="G185" s="25" t="s">
        <v>475</v>
      </c>
      <c r="H185" s="25" t="s">
        <v>74</v>
      </c>
      <c r="I185" s="24" t="s">
        <v>706</v>
      </c>
      <c r="J185" s="25" t="s">
        <v>62</v>
      </c>
      <c r="K185" s="24" t="s">
        <v>104</v>
      </c>
      <c r="L185" s="25" t="s">
        <v>197</v>
      </c>
      <c r="M185" s="26">
        <f>774373*30%</f>
        <v>232311.9</v>
      </c>
    </row>
    <row r="186" spans="1:13" x14ac:dyDescent="0.25">
      <c r="C186" s="54"/>
      <c r="D186" s="73"/>
      <c r="E186" s="55"/>
      <c r="F186" s="56"/>
      <c r="G186" s="57"/>
      <c r="H186" s="57"/>
      <c r="I186" s="56"/>
      <c r="J186" s="57"/>
      <c r="K186" s="36"/>
      <c r="L186" s="57"/>
      <c r="M186" s="86"/>
    </row>
    <row r="187" spans="1:13" ht="21" x14ac:dyDescent="0.25">
      <c r="A187" s="58"/>
      <c r="B187" s="59" t="s">
        <v>16</v>
      </c>
      <c r="C187" s="60"/>
      <c r="D187" s="61"/>
      <c r="E187" s="62"/>
      <c r="F187" s="63"/>
      <c r="G187" s="64"/>
      <c r="H187" s="64"/>
      <c r="I187" s="65" t="s">
        <v>1</v>
      </c>
      <c r="J187" s="64">
        <f>COUNT(M189:M193)</f>
        <v>4</v>
      </c>
      <c r="K187" s="81"/>
      <c r="L187" s="66" t="s">
        <v>0</v>
      </c>
      <c r="M187" s="67">
        <f>SUM(M189:M193)</f>
        <v>56207.479999999996</v>
      </c>
    </row>
    <row r="188" spans="1:13" ht="37.5" x14ac:dyDescent="0.25">
      <c r="A188" s="80"/>
      <c r="B188" s="80"/>
      <c r="C188" s="47" t="s">
        <v>2</v>
      </c>
      <c r="D188" s="48" t="s">
        <v>3</v>
      </c>
      <c r="E188" s="49" t="s">
        <v>4</v>
      </c>
      <c r="F188" s="50" t="s">
        <v>5</v>
      </c>
      <c r="G188" s="51" t="s">
        <v>6</v>
      </c>
      <c r="H188" s="51" t="s">
        <v>7</v>
      </c>
      <c r="I188" s="50" t="s">
        <v>8</v>
      </c>
      <c r="J188" s="50" t="s">
        <v>9</v>
      </c>
      <c r="K188" s="50" t="s">
        <v>10</v>
      </c>
      <c r="L188" s="51" t="s">
        <v>11</v>
      </c>
      <c r="M188" s="52" t="s">
        <v>12</v>
      </c>
    </row>
    <row r="189" spans="1:13" x14ac:dyDescent="0.25">
      <c r="C189" s="29">
        <v>42277</v>
      </c>
      <c r="D189" s="33" t="s">
        <v>350</v>
      </c>
      <c r="E189" s="16" t="s">
        <v>110</v>
      </c>
      <c r="F189" s="16" t="s">
        <v>351</v>
      </c>
      <c r="G189" s="28" t="s">
        <v>73</v>
      </c>
      <c r="H189" s="28" t="s">
        <v>74</v>
      </c>
      <c r="I189" s="16" t="s">
        <v>104</v>
      </c>
      <c r="J189" s="28" t="s">
        <v>58</v>
      </c>
      <c r="K189" s="16" t="s">
        <v>104</v>
      </c>
      <c r="L189" s="28" t="s">
        <v>53</v>
      </c>
      <c r="M189" s="31">
        <v>12252.34</v>
      </c>
    </row>
    <row r="190" spans="1:13" x14ac:dyDescent="0.25">
      <c r="C190" s="23">
        <v>42369</v>
      </c>
      <c r="D190" s="34" t="s">
        <v>350</v>
      </c>
      <c r="E190" s="24" t="s">
        <v>110</v>
      </c>
      <c r="F190" s="24" t="s">
        <v>351</v>
      </c>
      <c r="G190" s="25" t="s">
        <v>73</v>
      </c>
      <c r="H190" s="25" t="s">
        <v>74</v>
      </c>
      <c r="I190" s="24" t="s">
        <v>104</v>
      </c>
      <c r="J190" s="25" t="s">
        <v>58</v>
      </c>
      <c r="K190" s="24" t="s">
        <v>104</v>
      </c>
      <c r="L190" s="25" t="s">
        <v>53</v>
      </c>
      <c r="M190" s="26">
        <v>13493.169999999998</v>
      </c>
    </row>
    <row r="191" spans="1:13" x14ac:dyDescent="0.25">
      <c r="C191" s="23">
        <v>42460</v>
      </c>
      <c r="D191" s="34" t="s">
        <v>350</v>
      </c>
      <c r="E191" s="24" t="s">
        <v>110</v>
      </c>
      <c r="F191" s="24" t="s">
        <v>351</v>
      </c>
      <c r="G191" s="25" t="s">
        <v>73</v>
      </c>
      <c r="H191" s="25" t="s">
        <v>74</v>
      </c>
      <c r="I191" s="24" t="s">
        <v>104</v>
      </c>
      <c r="J191" s="25" t="s">
        <v>58</v>
      </c>
      <c r="K191" s="24" t="s">
        <v>104</v>
      </c>
      <c r="L191" s="25" t="s">
        <v>53</v>
      </c>
      <c r="M191" s="26">
        <v>12601.61</v>
      </c>
    </row>
    <row r="192" spans="1:13" x14ac:dyDescent="0.25">
      <c r="C192" s="29">
        <v>42551</v>
      </c>
      <c r="D192" s="34" t="s">
        <v>350</v>
      </c>
      <c r="E192" s="24" t="s">
        <v>110</v>
      </c>
      <c r="F192" s="24" t="s">
        <v>735</v>
      </c>
      <c r="G192" s="25" t="s">
        <v>73</v>
      </c>
      <c r="H192" s="25" t="s">
        <v>74</v>
      </c>
      <c r="I192" s="16" t="s">
        <v>104</v>
      </c>
      <c r="J192" s="28" t="s">
        <v>58</v>
      </c>
      <c r="K192" s="16" t="s">
        <v>104</v>
      </c>
      <c r="L192" s="25" t="s">
        <v>53</v>
      </c>
      <c r="M192" s="26">
        <v>17860.36</v>
      </c>
    </row>
    <row r="193" spans="1:13" x14ac:dyDescent="0.25">
      <c r="C193" s="70"/>
      <c r="D193" s="71"/>
      <c r="E193" s="56"/>
      <c r="F193" s="56"/>
      <c r="G193" s="68"/>
      <c r="H193" s="68"/>
      <c r="I193" s="56"/>
      <c r="J193" s="68"/>
      <c r="K193" s="36"/>
      <c r="L193" s="68"/>
      <c r="M193" s="86"/>
    </row>
    <row r="194" spans="1:13" ht="21" x14ac:dyDescent="0.25">
      <c r="A194" s="58"/>
      <c r="B194" s="59" t="s">
        <v>489</v>
      </c>
      <c r="C194" s="60"/>
      <c r="D194" s="61"/>
      <c r="E194" s="62"/>
      <c r="F194" s="63"/>
      <c r="G194" s="64"/>
      <c r="H194" s="64"/>
      <c r="I194" s="65" t="s">
        <v>1</v>
      </c>
      <c r="J194" s="64">
        <f>COUNT(M196:M197)</f>
        <v>1</v>
      </c>
      <c r="K194" s="81"/>
      <c r="L194" s="66" t="s">
        <v>0</v>
      </c>
      <c r="M194" s="67">
        <f>SUM(M196:M197)</f>
        <v>15000</v>
      </c>
    </row>
    <row r="195" spans="1:13" ht="37.5" x14ac:dyDescent="0.25">
      <c r="A195" s="80"/>
      <c r="B195" s="80"/>
      <c r="C195" s="47" t="s">
        <v>2</v>
      </c>
      <c r="D195" s="48" t="s">
        <v>3</v>
      </c>
      <c r="E195" s="49" t="s">
        <v>4</v>
      </c>
      <c r="F195" s="50" t="s">
        <v>5</v>
      </c>
      <c r="G195" s="51" t="s">
        <v>6</v>
      </c>
      <c r="H195" s="51" t="s">
        <v>7</v>
      </c>
      <c r="I195" s="50" t="s">
        <v>8</v>
      </c>
      <c r="J195" s="50" t="s">
        <v>9</v>
      </c>
      <c r="K195" s="50" t="s">
        <v>10</v>
      </c>
      <c r="L195" s="51" t="s">
        <v>11</v>
      </c>
      <c r="M195" s="52" t="s">
        <v>12</v>
      </c>
    </row>
    <row r="196" spans="1:13" ht="30" x14ac:dyDescent="0.25">
      <c r="C196" s="23">
        <v>42331</v>
      </c>
      <c r="D196" s="34">
        <v>16102</v>
      </c>
      <c r="E196" s="24" t="s">
        <v>222</v>
      </c>
      <c r="F196" s="24" t="s">
        <v>540</v>
      </c>
      <c r="G196" s="25" t="s">
        <v>541</v>
      </c>
      <c r="H196" s="25" t="s">
        <v>74</v>
      </c>
      <c r="I196" s="24" t="s">
        <v>542</v>
      </c>
      <c r="J196" s="25" t="s">
        <v>69</v>
      </c>
      <c r="K196" s="24" t="s">
        <v>104</v>
      </c>
      <c r="L196" s="25" t="s">
        <v>53</v>
      </c>
      <c r="M196" s="26">
        <f>30000/2</f>
        <v>15000</v>
      </c>
    </row>
    <row r="197" spans="1:13" x14ac:dyDescent="0.25">
      <c r="C197" s="70"/>
      <c r="D197" s="71"/>
      <c r="E197" s="72"/>
      <c r="F197" s="56"/>
      <c r="G197" s="68"/>
      <c r="H197" s="68"/>
      <c r="I197" s="56"/>
      <c r="J197" s="68"/>
      <c r="K197" s="36"/>
      <c r="L197" s="68"/>
      <c r="M197" s="84"/>
    </row>
    <row r="198" spans="1:13" ht="21" x14ac:dyDescent="0.25">
      <c r="A198" s="58"/>
      <c r="B198" s="59" t="s">
        <v>19</v>
      </c>
      <c r="C198" s="60"/>
      <c r="D198" s="61"/>
      <c r="E198" s="62"/>
      <c r="F198" s="63"/>
      <c r="G198" s="64"/>
      <c r="H198" s="64"/>
      <c r="I198" s="65" t="s">
        <v>1</v>
      </c>
      <c r="J198" s="64">
        <f>COUNT(M200:M201)</f>
        <v>1</v>
      </c>
      <c r="K198" s="81"/>
      <c r="L198" s="66" t="s">
        <v>0</v>
      </c>
      <c r="M198" s="67">
        <f>SUM(M200:M201)</f>
        <v>7532.5</v>
      </c>
    </row>
    <row r="199" spans="1:13" ht="37.5" x14ac:dyDescent="0.25">
      <c r="A199" s="80"/>
      <c r="B199" s="80"/>
      <c r="C199" s="47" t="s">
        <v>2</v>
      </c>
      <c r="D199" s="48" t="s">
        <v>3</v>
      </c>
      <c r="E199" s="49" t="s">
        <v>4</v>
      </c>
      <c r="F199" s="50" t="s">
        <v>5</v>
      </c>
      <c r="G199" s="51" t="s">
        <v>6</v>
      </c>
      <c r="H199" s="51" t="s">
        <v>7</v>
      </c>
      <c r="I199" s="50" t="s">
        <v>8</v>
      </c>
      <c r="J199" s="50" t="s">
        <v>9</v>
      </c>
      <c r="K199" s="50" t="s">
        <v>10</v>
      </c>
      <c r="L199" s="51" t="s">
        <v>11</v>
      </c>
      <c r="M199" s="52" t="s">
        <v>12</v>
      </c>
    </row>
    <row r="200" spans="1:13" x14ac:dyDescent="0.25">
      <c r="C200" s="29">
        <v>42277</v>
      </c>
      <c r="D200" s="33" t="s">
        <v>352</v>
      </c>
      <c r="E200" s="16" t="s">
        <v>163</v>
      </c>
      <c r="F200" s="16" t="s">
        <v>19</v>
      </c>
      <c r="G200" s="28" t="s">
        <v>353</v>
      </c>
      <c r="H200" s="28" t="s">
        <v>74</v>
      </c>
      <c r="I200" s="16" t="s">
        <v>104</v>
      </c>
      <c r="J200" s="28" t="s">
        <v>58</v>
      </c>
      <c r="K200" s="16" t="s">
        <v>104</v>
      </c>
      <c r="L200" s="28" t="s">
        <v>53</v>
      </c>
      <c r="M200" s="31">
        <v>7532.5</v>
      </c>
    </row>
    <row r="201" spans="1:13" x14ac:dyDescent="0.25">
      <c r="C201" s="70"/>
      <c r="D201" s="71"/>
      <c r="E201" s="72"/>
      <c r="F201" s="56"/>
      <c r="G201" s="68"/>
      <c r="H201" s="68"/>
      <c r="I201" s="56"/>
      <c r="J201" s="68"/>
      <c r="K201" s="36"/>
      <c r="L201" s="68"/>
      <c r="M201" s="84"/>
    </row>
    <row r="202" spans="1:13" ht="21" x14ac:dyDescent="0.25">
      <c r="A202" s="58"/>
      <c r="B202" s="59" t="s">
        <v>31</v>
      </c>
      <c r="C202" s="60"/>
      <c r="D202" s="61"/>
      <c r="E202" s="62"/>
      <c r="F202" s="63"/>
      <c r="G202" s="64"/>
      <c r="H202" s="64"/>
      <c r="I202" s="65" t="s">
        <v>1</v>
      </c>
      <c r="J202" s="64">
        <f>COUNT(M204:M207)</f>
        <v>3</v>
      </c>
      <c r="K202" s="81"/>
      <c r="L202" s="66" t="s">
        <v>0</v>
      </c>
      <c r="M202" s="67">
        <f>SUM(M204:M207)</f>
        <v>3718</v>
      </c>
    </row>
    <row r="203" spans="1:13" ht="37.5" x14ac:dyDescent="0.25">
      <c r="A203" s="80"/>
      <c r="B203" s="80"/>
      <c r="C203" s="47" t="s">
        <v>2</v>
      </c>
      <c r="D203" s="48" t="s">
        <v>3</v>
      </c>
      <c r="E203" s="49" t="s">
        <v>4</v>
      </c>
      <c r="F203" s="50" t="s">
        <v>5</v>
      </c>
      <c r="G203" s="51" t="s">
        <v>6</v>
      </c>
      <c r="H203" s="51" t="s">
        <v>7</v>
      </c>
      <c r="I203" s="50" t="s">
        <v>8</v>
      </c>
      <c r="J203" s="50" t="s">
        <v>9</v>
      </c>
      <c r="K203" s="50" t="s">
        <v>10</v>
      </c>
      <c r="L203" s="51" t="s">
        <v>11</v>
      </c>
      <c r="M203" s="52" t="s">
        <v>12</v>
      </c>
    </row>
    <row r="204" spans="1:13" ht="30" x14ac:dyDescent="0.25">
      <c r="C204" s="29">
        <v>42277</v>
      </c>
      <c r="D204" s="33" t="s">
        <v>354</v>
      </c>
      <c r="E204" s="16" t="s">
        <v>164</v>
      </c>
      <c r="F204" s="16" t="s">
        <v>31</v>
      </c>
      <c r="G204" s="28" t="s">
        <v>355</v>
      </c>
      <c r="H204" s="28" t="s">
        <v>74</v>
      </c>
      <c r="I204" s="16" t="s">
        <v>104</v>
      </c>
      <c r="J204" s="28" t="s">
        <v>58</v>
      </c>
      <c r="K204" s="16" t="s">
        <v>104</v>
      </c>
      <c r="L204" s="28" t="s">
        <v>53</v>
      </c>
      <c r="M204" s="31">
        <v>1150</v>
      </c>
    </row>
    <row r="205" spans="1:13" ht="30" x14ac:dyDescent="0.25">
      <c r="C205" s="23">
        <v>42369</v>
      </c>
      <c r="D205" s="34" t="s">
        <v>354</v>
      </c>
      <c r="E205" s="24" t="s">
        <v>164</v>
      </c>
      <c r="F205" s="24" t="s">
        <v>31</v>
      </c>
      <c r="G205" s="25" t="s">
        <v>355</v>
      </c>
      <c r="H205" s="25" t="s">
        <v>74</v>
      </c>
      <c r="I205" s="24" t="s">
        <v>104</v>
      </c>
      <c r="J205" s="25" t="s">
        <v>58</v>
      </c>
      <c r="K205" s="24" t="s">
        <v>104</v>
      </c>
      <c r="L205" s="25" t="s">
        <v>53</v>
      </c>
      <c r="M205" s="26">
        <v>1500</v>
      </c>
    </row>
    <row r="206" spans="1:13" x14ac:dyDescent="0.25">
      <c r="C206" s="29">
        <v>42551</v>
      </c>
      <c r="D206" s="34" t="s">
        <v>354</v>
      </c>
      <c r="E206" s="24" t="s">
        <v>164</v>
      </c>
      <c r="F206" s="24" t="s">
        <v>735</v>
      </c>
      <c r="G206" s="25" t="s">
        <v>355</v>
      </c>
      <c r="H206" s="25" t="s">
        <v>74</v>
      </c>
      <c r="I206" s="16" t="s">
        <v>104</v>
      </c>
      <c r="J206" s="28" t="s">
        <v>58</v>
      </c>
      <c r="K206" s="16" t="s">
        <v>104</v>
      </c>
      <c r="L206" s="25" t="s">
        <v>53</v>
      </c>
      <c r="M206" s="26">
        <v>1068</v>
      </c>
    </row>
    <row r="207" spans="1:13" x14ac:dyDescent="0.25">
      <c r="C207" s="70"/>
      <c r="D207" s="71"/>
      <c r="E207" s="72"/>
      <c r="F207" s="56"/>
      <c r="G207" s="68"/>
      <c r="H207" s="68"/>
      <c r="I207" s="56"/>
      <c r="J207" s="68"/>
      <c r="K207" s="36"/>
      <c r="L207" s="68"/>
      <c r="M207" s="84"/>
    </row>
    <row r="208" spans="1:13" ht="21" x14ac:dyDescent="0.25">
      <c r="A208" s="37" t="s">
        <v>32</v>
      </c>
      <c r="B208" s="37"/>
      <c r="C208" s="38"/>
      <c r="D208" s="39"/>
      <c r="E208" s="40"/>
      <c r="F208" s="41"/>
      <c r="G208" s="42"/>
      <c r="H208" s="42"/>
      <c r="I208" s="43" t="s">
        <v>1</v>
      </c>
      <c r="J208" s="42">
        <f>J209+J318+J328+J351</f>
        <v>151</v>
      </c>
      <c r="K208" s="83"/>
      <c r="L208" s="44" t="s">
        <v>0</v>
      </c>
      <c r="M208" s="45">
        <f>M209+M318+M328+M351</f>
        <v>15982123.559999987</v>
      </c>
    </row>
    <row r="209" spans="1:13" ht="21" x14ac:dyDescent="0.25">
      <c r="B209" s="59" t="s">
        <v>32</v>
      </c>
      <c r="C209" s="60"/>
      <c r="D209" s="61"/>
      <c r="E209" s="62"/>
      <c r="F209" s="63"/>
      <c r="G209" s="64"/>
      <c r="H209" s="64"/>
      <c r="I209" s="65" t="s">
        <v>1</v>
      </c>
      <c r="J209" s="64">
        <f>COUNT(M211:M317)</f>
        <v>106</v>
      </c>
      <c r="K209" s="81"/>
      <c r="L209" s="66" t="s">
        <v>0</v>
      </c>
      <c r="M209" s="67">
        <f>SUM(M211:M317)</f>
        <v>14160985.749999989</v>
      </c>
    </row>
    <row r="210" spans="1:13" ht="37.5" x14ac:dyDescent="0.25">
      <c r="A210" s="80"/>
      <c r="B210" s="80"/>
      <c r="C210" s="47" t="s">
        <v>2</v>
      </c>
      <c r="D210" s="48" t="s">
        <v>3</v>
      </c>
      <c r="E210" s="49" t="s">
        <v>4</v>
      </c>
      <c r="F210" s="50" t="s">
        <v>5</v>
      </c>
      <c r="G210" s="51" t="s">
        <v>6</v>
      </c>
      <c r="H210" s="51" t="s">
        <v>7</v>
      </c>
      <c r="I210" s="50" t="s">
        <v>8</v>
      </c>
      <c r="J210" s="50" t="s">
        <v>9</v>
      </c>
      <c r="K210" s="50" t="s">
        <v>10</v>
      </c>
      <c r="L210" s="51" t="s">
        <v>11</v>
      </c>
      <c r="M210" s="52" t="s">
        <v>12</v>
      </c>
    </row>
    <row r="211" spans="1:13" ht="30" x14ac:dyDescent="0.25">
      <c r="C211" s="54">
        <v>42186</v>
      </c>
      <c r="D211" s="9">
        <v>13136</v>
      </c>
      <c r="E211" s="56" t="s">
        <v>103</v>
      </c>
      <c r="F211" s="56" t="s">
        <v>61</v>
      </c>
      <c r="G211" s="57" t="s">
        <v>59</v>
      </c>
      <c r="H211" s="68" t="s">
        <v>60</v>
      </c>
      <c r="I211" s="56" t="s">
        <v>102</v>
      </c>
      <c r="J211" s="68" t="s">
        <v>62</v>
      </c>
      <c r="K211" s="56" t="s">
        <v>104</v>
      </c>
      <c r="L211" s="85" t="s">
        <v>198</v>
      </c>
      <c r="M211" s="69">
        <v>54000</v>
      </c>
    </row>
    <row r="212" spans="1:13" ht="30" x14ac:dyDescent="0.25">
      <c r="C212" s="54">
        <v>42242</v>
      </c>
      <c r="D212" s="9">
        <v>16047</v>
      </c>
      <c r="E212" s="56" t="s">
        <v>174</v>
      </c>
      <c r="F212" s="56" t="s">
        <v>282</v>
      </c>
      <c r="G212" s="57" t="s">
        <v>59</v>
      </c>
      <c r="H212" s="68" t="s">
        <v>60</v>
      </c>
      <c r="I212" s="56" t="s">
        <v>175</v>
      </c>
      <c r="J212" s="68" t="s">
        <v>105</v>
      </c>
      <c r="K212" s="56" t="s">
        <v>104</v>
      </c>
      <c r="L212" s="85" t="s">
        <v>53</v>
      </c>
      <c r="M212" s="69">
        <v>11197</v>
      </c>
    </row>
    <row r="213" spans="1:13" x14ac:dyDescent="0.25">
      <c r="C213" s="54">
        <v>42212</v>
      </c>
      <c r="D213" s="9">
        <v>16023</v>
      </c>
      <c r="E213" s="56" t="s">
        <v>169</v>
      </c>
      <c r="F213" s="56" t="s">
        <v>248</v>
      </c>
      <c r="G213" s="57" t="s">
        <v>60</v>
      </c>
      <c r="H213" s="68" t="s">
        <v>60</v>
      </c>
      <c r="I213" s="56" t="s">
        <v>96</v>
      </c>
      <c r="J213" s="68" t="s">
        <v>62</v>
      </c>
      <c r="K213" s="56" t="s">
        <v>249</v>
      </c>
      <c r="L213" s="85" t="s">
        <v>52</v>
      </c>
      <c r="M213" s="69">
        <v>222768.00000000003</v>
      </c>
    </row>
    <row r="214" spans="1:13" ht="30" x14ac:dyDescent="0.25">
      <c r="C214" s="54">
        <v>42200</v>
      </c>
      <c r="D214" s="9">
        <v>16003</v>
      </c>
      <c r="E214" s="56" t="s">
        <v>239</v>
      </c>
      <c r="F214" s="56" t="s">
        <v>240</v>
      </c>
      <c r="G214" s="57" t="s">
        <v>132</v>
      </c>
      <c r="H214" s="68" t="s">
        <v>60</v>
      </c>
      <c r="I214" s="56" t="s">
        <v>241</v>
      </c>
      <c r="J214" s="68" t="s">
        <v>57</v>
      </c>
      <c r="K214" s="56" t="s">
        <v>104</v>
      </c>
      <c r="L214" s="85" t="s">
        <v>53</v>
      </c>
      <c r="M214" s="69">
        <v>12644</v>
      </c>
    </row>
    <row r="215" spans="1:13" ht="75" x14ac:dyDescent="0.25">
      <c r="C215" s="54">
        <v>42195</v>
      </c>
      <c r="D215" s="9">
        <v>16001</v>
      </c>
      <c r="E215" s="56" t="s">
        <v>235</v>
      </c>
      <c r="F215" s="56" t="s">
        <v>236</v>
      </c>
      <c r="G215" s="57" t="s">
        <v>132</v>
      </c>
      <c r="H215" s="68" t="s">
        <v>60</v>
      </c>
      <c r="I215" s="56" t="s">
        <v>75</v>
      </c>
      <c r="J215" s="68" t="s">
        <v>62</v>
      </c>
      <c r="K215" s="56" t="s">
        <v>104</v>
      </c>
      <c r="L215" s="85" t="s">
        <v>197</v>
      </c>
      <c r="M215" s="69">
        <v>359706</v>
      </c>
    </row>
    <row r="216" spans="1:13" ht="75" x14ac:dyDescent="0.25">
      <c r="C216" s="54">
        <v>42195</v>
      </c>
      <c r="D216" s="9">
        <v>16001</v>
      </c>
      <c r="E216" s="56" t="s">
        <v>131</v>
      </c>
      <c r="F216" s="56" t="s">
        <v>236</v>
      </c>
      <c r="G216" s="57" t="s">
        <v>132</v>
      </c>
      <c r="H216" s="68" t="s">
        <v>60</v>
      </c>
      <c r="I216" s="56" t="s">
        <v>75</v>
      </c>
      <c r="J216" s="68" t="s">
        <v>62</v>
      </c>
      <c r="K216" s="56" t="s">
        <v>104</v>
      </c>
      <c r="L216" s="85" t="s">
        <v>197</v>
      </c>
      <c r="M216" s="69">
        <v>239804</v>
      </c>
    </row>
    <row r="217" spans="1:13" ht="30" x14ac:dyDescent="0.25">
      <c r="C217" s="54">
        <v>42212</v>
      </c>
      <c r="D217" s="9">
        <v>16010</v>
      </c>
      <c r="E217" s="56" t="s">
        <v>122</v>
      </c>
      <c r="F217" s="56" t="s">
        <v>250</v>
      </c>
      <c r="G217" s="57" t="s">
        <v>99</v>
      </c>
      <c r="H217" s="68" t="s">
        <v>60</v>
      </c>
      <c r="I217" s="56" t="s">
        <v>183</v>
      </c>
      <c r="J217" s="68" t="s">
        <v>62</v>
      </c>
      <c r="K217" s="56" t="s">
        <v>104</v>
      </c>
      <c r="L217" s="85" t="s">
        <v>198</v>
      </c>
      <c r="M217" s="69">
        <v>21000</v>
      </c>
    </row>
    <row r="218" spans="1:13" ht="30" x14ac:dyDescent="0.25">
      <c r="C218" s="54">
        <v>42208</v>
      </c>
      <c r="D218" s="9">
        <v>16015</v>
      </c>
      <c r="E218" s="56" t="s">
        <v>113</v>
      </c>
      <c r="F218" s="56" t="s">
        <v>247</v>
      </c>
      <c r="G218" s="57" t="s">
        <v>76</v>
      </c>
      <c r="H218" s="68" t="s">
        <v>60</v>
      </c>
      <c r="I218" s="56" t="s">
        <v>75</v>
      </c>
      <c r="J218" s="68" t="s">
        <v>62</v>
      </c>
      <c r="K218" s="56" t="s">
        <v>104</v>
      </c>
      <c r="L218" s="85" t="s">
        <v>197</v>
      </c>
      <c r="M218" s="69">
        <v>1078712</v>
      </c>
    </row>
    <row r="219" spans="1:13" ht="30" x14ac:dyDescent="0.25">
      <c r="C219" s="54">
        <v>42215</v>
      </c>
      <c r="D219" s="9">
        <v>16016</v>
      </c>
      <c r="E219" s="56" t="s">
        <v>113</v>
      </c>
      <c r="F219" s="56" t="s">
        <v>187</v>
      </c>
      <c r="G219" s="57" t="s">
        <v>76</v>
      </c>
      <c r="H219" s="68" t="s">
        <v>60</v>
      </c>
      <c r="I219" s="56" t="s">
        <v>95</v>
      </c>
      <c r="J219" s="68" t="s">
        <v>62</v>
      </c>
      <c r="K219" s="56" t="s">
        <v>208</v>
      </c>
      <c r="L219" s="85" t="s">
        <v>197</v>
      </c>
      <c r="M219" s="69">
        <v>37500</v>
      </c>
    </row>
    <row r="220" spans="1:13" ht="30" x14ac:dyDescent="0.25">
      <c r="C220" s="54">
        <v>42216</v>
      </c>
      <c r="D220" s="9">
        <v>16020</v>
      </c>
      <c r="E220" s="56" t="s">
        <v>140</v>
      </c>
      <c r="F220" s="56" t="s">
        <v>253</v>
      </c>
      <c r="G220" s="57" t="s">
        <v>76</v>
      </c>
      <c r="H220" s="68" t="s">
        <v>60</v>
      </c>
      <c r="I220" s="56" t="s">
        <v>95</v>
      </c>
      <c r="J220" s="68" t="s">
        <v>62</v>
      </c>
      <c r="K220" s="56" t="s">
        <v>104</v>
      </c>
      <c r="L220" s="85" t="s">
        <v>198</v>
      </c>
      <c r="M220" s="69">
        <v>12000</v>
      </c>
    </row>
    <row r="221" spans="1:13" x14ac:dyDescent="0.25">
      <c r="C221" s="54">
        <v>42247</v>
      </c>
      <c r="D221" s="9">
        <v>16030</v>
      </c>
      <c r="E221" s="56" t="s">
        <v>288</v>
      </c>
      <c r="F221" s="56" t="s">
        <v>289</v>
      </c>
      <c r="G221" s="57" t="s">
        <v>100</v>
      </c>
      <c r="H221" s="68" t="s">
        <v>60</v>
      </c>
      <c r="I221" s="56" t="s">
        <v>290</v>
      </c>
      <c r="J221" s="68" t="s">
        <v>57</v>
      </c>
      <c r="K221" s="56" t="s">
        <v>104</v>
      </c>
      <c r="L221" s="85" t="s">
        <v>52</v>
      </c>
      <c r="M221" s="69">
        <v>18000</v>
      </c>
    </row>
    <row r="222" spans="1:13" ht="30" x14ac:dyDescent="0.25">
      <c r="C222" s="54">
        <v>42240</v>
      </c>
      <c r="D222" s="9">
        <v>16027</v>
      </c>
      <c r="E222" s="56" t="s">
        <v>126</v>
      </c>
      <c r="F222" s="56" t="s">
        <v>276</v>
      </c>
      <c r="G222" s="57" t="s">
        <v>94</v>
      </c>
      <c r="H222" s="68" t="s">
        <v>60</v>
      </c>
      <c r="I222" s="56" t="s">
        <v>75</v>
      </c>
      <c r="J222" s="68" t="s">
        <v>62</v>
      </c>
      <c r="K222" s="56" t="s">
        <v>104</v>
      </c>
      <c r="L222" s="85" t="s">
        <v>198</v>
      </c>
      <c r="M222" s="69">
        <v>81243</v>
      </c>
    </row>
    <row r="223" spans="1:13" ht="30" x14ac:dyDescent="0.25">
      <c r="C223" s="54">
        <v>42240</v>
      </c>
      <c r="D223" s="9">
        <v>16027</v>
      </c>
      <c r="E223" s="56" t="s">
        <v>125</v>
      </c>
      <c r="F223" s="56" t="s">
        <v>276</v>
      </c>
      <c r="G223" s="57" t="s">
        <v>94</v>
      </c>
      <c r="H223" s="68" t="s">
        <v>60</v>
      </c>
      <c r="I223" s="56" t="s">
        <v>75</v>
      </c>
      <c r="J223" s="68" t="s">
        <v>62</v>
      </c>
      <c r="K223" s="56" t="s">
        <v>104</v>
      </c>
      <c r="L223" s="85" t="s">
        <v>198</v>
      </c>
      <c r="M223" s="69">
        <v>81243</v>
      </c>
    </row>
    <row r="224" spans="1:13" ht="30" x14ac:dyDescent="0.25">
      <c r="C224" s="54">
        <v>42240</v>
      </c>
      <c r="D224" s="9">
        <v>16027</v>
      </c>
      <c r="E224" s="56" t="s">
        <v>128</v>
      </c>
      <c r="F224" s="56" t="s">
        <v>276</v>
      </c>
      <c r="G224" s="57" t="s">
        <v>94</v>
      </c>
      <c r="H224" s="68" t="s">
        <v>60</v>
      </c>
      <c r="I224" s="56" t="s">
        <v>75</v>
      </c>
      <c r="J224" s="68" t="s">
        <v>62</v>
      </c>
      <c r="K224" s="56" t="s">
        <v>104</v>
      </c>
      <c r="L224" s="85" t="s">
        <v>198</v>
      </c>
      <c r="M224" s="69">
        <v>81243</v>
      </c>
    </row>
    <row r="225" spans="1:13" ht="30" x14ac:dyDescent="0.25">
      <c r="C225" s="54">
        <v>42240</v>
      </c>
      <c r="D225" s="9">
        <v>16027</v>
      </c>
      <c r="E225" s="56" t="s">
        <v>127</v>
      </c>
      <c r="F225" s="56" t="s">
        <v>276</v>
      </c>
      <c r="G225" s="57" t="s">
        <v>94</v>
      </c>
      <c r="H225" s="68" t="s">
        <v>60</v>
      </c>
      <c r="I225" s="56" t="s">
        <v>75</v>
      </c>
      <c r="J225" s="68" t="s">
        <v>62</v>
      </c>
      <c r="K225" s="56" t="s">
        <v>104</v>
      </c>
      <c r="L225" s="85" t="s">
        <v>198</v>
      </c>
      <c r="M225" s="69">
        <v>81243</v>
      </c>
    </row>
    <row r="226" spans="1:13" ht="30" x14ac:dyDescent="0.25">
      <c r="C226" s="54">
        <v>42237</v>
      </c>
      <c r="D226" s="9">
        <v>16038</v>
      </c>
      <c r="E226" s="56" t="s">
        <v>113</v>
      </c>
      <c r="F226" s="56" t="s">
        <v>270</v>
      </c>
      <c r="G226" s="57" t="s">
        <v>76</v>
      </c>
      <c r="H226" s="68" t="s">
        <v>60</v>
      </c>
      <c r="I226" s="56" t="s">
        <v>95</v>
      </c>
      <c r="J226" s="68" t="s">
        <v>62</v>
      </c>
      <c r="K226" s="56" t="s">
        <v>104</v>
      </c>
      <c r="L226" s="85" t="s">
        <v>198</v>
      </c>
      <c r="M226" s="69">
        <v>35000</v>
      </c>
    </row>
    <row r="227" spans="1:13" ht="30" x14ac:dyDescent="0.25">
      <c r="C227" s="54">
        <v>42217</v>
      </c>
      <c r="D227" s="9">
        <v>16025</v>
      </c>
      <c r="E227" s="56" t="s">
        <v>140</v>
      </c>
      <c r="F227" s="56" t="s">
        <v>257</v>
      </c>
      <c r="G227" s="57" t="s">
        <v>76</v>
      </c>
      <c r="H227" s="68" t="s">
        <v>60</v>
      </c>
      <c r="I227" s="56" t="s">
        <v>95</v>
      </c>
      <c r="J227" s="68" t="s">
        <v>62</v>
      </c>
      <c r="K227" s="56" t="s">
        <v>208</v>
      </c>
      <c r="L227" s="85" t="s">
        <v>197</v>
      </c>
      <c r="M227" s="69">
        <v>98000</v>
      </c>
    </row>
    <row r="228" spans="1:13" x14ac:dyDescent="0.25">
      <c r="C228" s="29">
        <v>42277</v>
      </c>
      <c r="D228" s="33" t="s">
        <v>356</v>
      </c>
      <c r="E228" s="16" t="s">
        <v>357</v>
      </c>
      <c r="F228" s="16" t="s">
        <v>358</v>
      </c>
      <c r="G228" s="28" t="s">
        <v>59</v>
      </c>
      <c r="H228" s="28" t="s">
        <v>60</v>
      </c>
      <c r="I228" s="16" t="s">
        <v>104</v>
      </c>
      <c r="J228" s="28" t="s">
        <v>58</v>
      </c>
      <c r="K228" s="16" t="s">
        <v>104</v>
      </c>
      <c r="L228" s="28" t="s">
        <v>53</v>
      </c>
      <c r="M228" s="31">
        <v>1944</v>
      </c>
    </row>
    <row r="229" spans="1:13" ht="45" x14ac:dyDescent="0.25">
      <c r="C229" s="29">
        <v>42262</v>
      </c>
      <c r="D229" s="33">
        <v>14157</v>
      </c>
      <c r="E229" s="16" t="s">
        <v>165</v>
      </c>
      <c r="F229" s="16" t="s">
        <v>215</v>
      </c>
      <c r="G229" s="28" t="s">
        <v>59</v>
      </c>
      <c r="H229" s="28" t="s">
        <v>60</v>
      </c>
      <c r="I229" s="16" t="s">
        <v>319</v>
      </c>
      <c r="J229" s="28" t="s">
        <v>62</v>
      </c>
      <c r="K229" s="16" t="s">
        <v>104</v>
      </c>
      <c r="L229" s="28" t="s">
        <v>197</v>
      </c>
      <c r="M229" s="31">
        <v>46103</v>
      </c>
    </row>
    <row r="230" spans="1:13" x14ac:dyDescent="0.25">
      <c r="C230" s="29">
        <v>42277</v>
      </c>
      <c r="D230" s="33" t="s">
        <v>359</v>
      </c>
      <c r="E230" s="16" t="s">
        <v>165</v>
      </c>
      <c r="F230" s="16" t="s">
        <v>360</v>
      </c>
      <c r="G230" s="28" t="s">
        <v>59</v>
      </c>
      <c r="H230" s="28" t="s">
        <v>60</v>
      </c>
      <c r="I230" s="16" t="s">
        <v>104</v>
      </c>
      <c r="J230" s="28" t="s">
        <v>58</v>
      </c>
      <c r="K230" s="16" t="s">
        <v>104</v>
      </c>
      <c r="L230" s="28" t="s">
        <v>53</v>
      </c>
      <c r="M230" s="31">
        <v>5302.13</v>
      </c>
    </row>
    <row r="231" spans="1:13" x14ac:dyDescent="0.25">
      <c r="C231" s="29">
        <v>42277</v>
      </c>
      <c r="D231" s="33" t="s">
        <v>361</v>
      </c>
      <c r="E231" s="16" t="s">
        <v>151</v>
      </c>
      <c r="F231" s="16" t="s">
        <v>362</v>
      </c>
      <c r="G231" s="28" t="s">
        <v>59</v>
      </c>
      <c r="H231" s="28" t="s">
        <v>60</v>
      </c>
      <c r="I231" s="16" t="s">
        <v>104</v>
      </c>
      <c r="J231" s="28" t="s">
        <v>58</v>
      </c>
      <c r="K231" s="16" t="s">
        <v>104</v>
      </c>
      <c r="L231" s="28" t="s">
        <v>53</v>
      </c>
      <c r="M231" s="31">
        <v>27300</v>
      </c>
    </row>
    <row r="232" spans="1:13" x14ac:dyDescent="0.25">
      <c r="C232" s="29">
        <v>42277</v>
      </c>
      <c r="D232" s="33" t="s">
        <v>363</v>
      </c>
      <c r="E232" s="16" t="s">
        <v>332</v>
      </c>
      <c r="F232" s="16" t="s">
        <v>364</v>
      </c>
      <c r="G232" s="28" t="s">
        <v>59</v>
      </c>
      <c r="H232" s="28" t="s">
        <v>60</v>
      </c>
      <c r="I232" s="16" t="s">
        <v>104</v>
      </c>
      <c r="J232" s="28" t="s">
        <v>58</v>
      </c>
      <c r="K232" s="16" t="s">
        <v>104</v>
      </c>
      <c r="L232" s="28" t="s">
        <v>53</v>
      </c>
      <c r="M232" s="31">
        <v>3294</v>
      </c>
    </row>
    <row r="233" spans="1:13" ht="30" x14ac:dyDescent="0.25">
      <c r="C233" s="29">
        <v>42257</v>
      </c>
      <c r="D233" s="33">
        <v>16037</v>
      </c>
      <c r="E233" s="16" t="s">
        <v>313</v>
      </c>
      <c r="F233" s="16" t="s">
        <v>311</v>
      </c>
      <c r="G233" s="28" t="s">
        <v>86</v>
      </c>
      <c r="H233" s="28" t="s">
        <v>60</v>
      </c>
      <c r="I233" s="16" t="s">
        <v>75</v>
      </c>
      <c r="J233" s="28" t="s">
        <v>62</v>
      </c>
      <c r="K233" s="16" t="s">
        <v>104</v>
      </c>
      <c r="L233" s="28" t="s">
        <v>198</v>
      </c>
      <c r="M233" s="31">
        <f>1000000*50%</f>
        <v>500000</v>
      </c>
    </row>
    <row r="234" spans="1:13" ht="30" x14ac:dyDescent="0.25">
      <c r="C234" s="29">
        <v>42253</v>
      </c>
      <c r="D234" s="33">
        <v>16035</v>
      </c>
      <c r="E234" s="16" t="s">
        <v>131</v>
      </c>
      <c r="F234" s="16" t="s">
        <v>307</v>
      </c>
      <c r="G234" s="28" t="s">
        <v>132</v>
      </c>
      <c r="H234" s="28" t="s">
        <v>60</v>
      </c>
      <c r="I234" s="16" t="s">
        <v>308</v>
      </c>
      <c r="J234" s="28" t="s">
        <v>62</v>
      </c>
      <c r="K234" s="16" t="s">
        <v>104</v>
      </c>
      <c r="L234" s="28" t="s">
        <v>197</v>
      </c>
      <c r="M234" s="31">
        <v>326378</v>
      </c>
    </row>
    <row r="235" spans="1:13" ht="45" x14ac:dyDescent="0.25">
      <c r="C235" s="29">
        <v>42277</v>
      </c>
      <c r="D235" s="33">
        <v>16058</v>
      </c>
      <c r="E235" s="16" t="s">
        <v>179</v>
      </c>
      <c r="F235" s="16" t="s">
        <v>370</v>
      </c>
      <c r="G235" s="28" t="s">
        <v>76</v>
      </c>
      <c r="H235" s="28" t="s">
        <v>60</v>
      </c>
      <c r="I235" s="16" t="s">
        <v>75</v>
      </c>
      <c r="J235" s="28" t="s">
        <v>62</v>
      </c>
      <c r="K235" s="16" t="s">
        <v>208</v>
      </c>
      <c r="L235" s="28" t="s">
        <v>197</v>
      </c>
      <c r="M235" s="31">
        <v>29927</v>
      </c>
    </row>
    <row r="236" spans="1:13" ht="45" x14ac:dyDescent="0.25">
      <c r="C236" s="29">
        <v>42248</v>
      </c>
      <c r="D236" s="33">
        <v>16054</v>
      </c>
      <c r="E236" s="16" t="s">
        <v>113</v>
      </c>
      <c r="F236" s="16" t="s">
        <v>294</v>
      </c>
      <c r="G236" s="28" t="s">
        <v>76</v>
      </c>
      <c r="H236" s="28" t="s">
        <v>60</v>
      </c>
      <c r="I236" s="16" t="s">
        <v>75</v>
      </c>
      <c r="J236" s="28" t="s">
        <v>62</v>
      </c>
      <c r="K236" s="16" t="s">
        <v>295</v>
      </c>
      <c r="L236" s="28" t="s">
        <v>197</v>
      </c>
      <c r="M236" s="31">
        <v>335426</v>
      </c>
    </row>
    <row r="237" spans="1:13" ht="45" x14ac:dyDescent="0.25">
      <c r="C237" s="29">
        <v>42270</v>
      </c>
      <c r="D237" s="33">
        <v>16049</v>
      </c>
      <c r="E237" s="16" t="s">
        <v>113</v>
      </c>
      <c r="F237" s="16" t="s">
        <v>325</v>
      </c>
      <c r="G237" s="28" t="s">
        <v>76</v>
      </c>
      <c r="H237" s="28" t="s">
        <v>60</v>
      </c>
      <c r="I237" s="16" t="s">
        <v>95</v>
      </c>
      <c r="J237" s="28" t="s">
        <v>62</v>
      </c>
      <c r="K237" s="16" t="s">
        <v>326</v>
      </c>
      <c r="L237" s="28" t="s">
        <v>53</v>
      </c>
      <c r="M237" s="31">
        <v>5000</v>
      </c>
    </row>
    <row r="238" spans="1:13" ht="60" x14ac:dyDescent="0.25">
      <c r="C238" s="29">
        <v>42275</v>
      </c>
      <c r="D238" s="33">
        <v>16057</v>
      </c>
      <c r="E238" s="16" t="s">
        <v>332</v>
      </c>
      <c r="F238" s="16" t="s">
        <v>333</v>
      </c>
      <c r="G238" s="28" t="s">
        <v>76</v>
      </c>
      <c r="H238" s="28" t="s">
        <v>60</v>
      </c>
      <c r="I238" s="16" t="s">
        <v>75</v>
      </c>
      <c r="J238" s="28" t="s">
        <v>62</v>
      </c>
      <c r="K238" s="16" t="s">
        <v>104</v>
      </c>
      <c r="L238" s="28" t="s">
        <v>197</v>
      </c>
      <c r="M238" s="31">
        <f>398171*40%</f>
        <v>159268.40000000002</v>
      </c>
    </row>
    <row r="239" spans="1:13" ht="60" x14ac:dyDescent="0.25">
      <c r="C239" s="29">
        <v>42275</v>
      </c>
      <c r="D239" s="33">
        <v>16057</v>
      </c>
      <c r="E239" s="16" t="s">
        <v>334</v>
      </c>
      <c r="F239" s="16" t="s">
        <v>333</v>
      </c>
      <c r="G239" s="28" t="s">
        <v>76</v>
      </c>
      <c r="H239" s="28" t="s">
        <v>60</v>
      </c>
      <c r="I239" s="16" t="s">
        <v>75</v>
      </c>
      <c r="J239" s="28" t="s">
        <v>62</v>
      </c>
      <c r="K239" s="16" t="s">
        <v>104</v>
      </c>
      <c r="L239" s="28" t="s">
        <v>197</v>
      </c>
      <c r="M239" s="31">
        <f>398171*60%</f>
        <v>238902.59999999998</v>
      </c>
    </row>
    <row r="240" spans="1:13" ht="60" x14ac:dyDescent="0.25">
      <c r="A240" s="35"/>
      <c r="B240" s="35"/>
      <c r="C240" s="29">
        <v>42293</v>
      </c>
      <c r="D240" s="33">
        <v>16074</v>
      </c>
      <c r="E240" s="16" t="s">
        <v>332</v>
      </c>
      <c r="F240" s="16" t="s">
        <v>455</v>
      </c>
      <c r="G240" s="28" t="s">
        <v>59</v>
      </c>
      <c r="H240" s="28" t="s">
        <v>60</v>
      </c>
      <c r="I240" s="16" t="s">
        <v>75</v>
      </c>
      <c r="J240" s="28" t="s">
        <v>62</v>
      </c>
      <c r="K240" s="16" t="s">
        <v>104</v>
      </c>
      <c r="L240" s="28" t="s">
        <v>197</v>
      </c>
      <c r="M240" s="31">
        <v>415501</v>
      </c>
    </row>
    <row r="241" spans="1:13" ht="30" x14ac:dyDescent="0.25">
      <c r="A241" s="35"/>
      <c r="B241" s="35"/>
      <c r="C241" s="29">
        <v>42291</v>
      </c>
      <c r="D241" s="33">
        <v>16066</v>
      </c>
      <c r="E241" s="16" t="s">
        <v>447</v>
      </c>
      <c r="F241" s="16" t="s">
        <v>448</v>
      </c>
      <c r="G241" s="28" t="s">
        <v>59</v>
      </c>
      <c r="H241" s="28" t="s">
        <v>60</v>
      </c>
      <c r="I241" s="16" t="s">
        <v>75</v>
      </c>
      <c r="J241" s="28" t="s">
        <v>62</v>
      </c>
      <c r="K241" s="16" t="s">
        <v>208</v>
      </c>
      <c r="L241" s="28" t="s">
        <v>197</v>
      </c>
      <c r="M241" s="31">
        <v>49968</v>
      </c>
    </row>
    <row r="242" spans="1:13" ht="60" x14ac:dyDescent="0.25">
      <c r="A242" s="35"/>
      <c r="B242" s="35"/>
      <c r="C242" s="29">
        <v>42290</v>
      </c>
      <c r="D242" s="33">
        <v>16070</v>
      </c>
      <c r="E242" s="16" t="s">
        <v>445</v>
      </c>
      <c r="F242" s="16" t="s">
        <v>446</v>
      </c>
      <c r="G242" s="28" t="s">
        <v>132</v>
      </c>
      <c r="H242" s="28" t="s">
        <v>60</v>
      </c>
      <c r="I242" s="16" t="s">
        <v>75</v>
      </c>
      <c r="J242" s="28" t="s">
        <v>62</v>
      </c>
      <c r="K242" s="16" t="s">
        <v>104</v>
      </c>
      <c r="L242" s="28" t="s">
        <v>197</v>
      </c>
      <c r="M242" s="31">
        <v>126977</v>
      </c>
    </row>
    <row r="243" spans="1:13" ht="30" x14ac:dyDescent="0.25">
      <c r="A243" s="35"/>
      <c r="B243" s="35"/>
      <c r="C243" s="29">
        <v>42279</v>
      </c>
      <c r="D243" s="33">
        <v>16063</v>
      </c>
      <c r="E243" s="16" t="s">
        <v>128</v>
      </c>
      <c r="F243" s="16" t="s">
        <v>437</v>
      </c>
      <c r="G243" s="28" t="s">
        <v>94</v>
      </c>
      <c r="H243" s="28" t="s">
        <v>60</v>
      </c>
      <c r="I243" s="16" t="s">
        <v>75</v>
      </c>
      <c r="J243" s="28" t="s">
        <v>62</v>
      </c>
      <c r="K243" s="16" t="s">
        <v>104</v>
      </c>
      <c r="L243" s="28" t="s">
        <v>197</v>
      </c>
      <c r="M243" s="31">
        <v>103728</v>
      </c>
    </row>
    <row r="244" spans="1:13" x14ac:dyDescent="0.25">
      <c r="A244" s="35"/>
      <c r="B244" s="35"/>
      <c r="C244" s="29">
        <v>42297</v>
      </c>
      <c r="D244" s="33">
        <v>16072</v>
      </c>
      <c r="E244" s="16" t="s">
        <v>128</v>
      </c>
      <c r="F244" s="16" t="s">
        <v>457</v>
      </c>
      <c r="G244" s="28" t="s">
        <v>94</v>
      </c>
      <c r="H244" s="28" t="s">
        <v>60</v>
      </c>
      <c r="I244" s="16" t="s">
        <v>458</v>
      </c>
      <c r="J244" s="28" t="s">
        <v>62</v>
      </c>
      <c r="K244" s="16" t="s">
        <v>104</v>
      </c>
      <c r="L244" s="28" t="s">
        <v>198</v>
      </c>
      <c r="M244" s="31">
        <v>26296</v>
      </c>
    </row>
    <row r="245" spans="1:13" ht="45" x14ac:dyDescent="0.25">
      <c r="A245" s="35"/>
      <c r="B245" s="35"/>
      <c r="C245" s="29">
        <v>42292</v>
      </c>
      <c r="D245" s="33">
        <v>16071</v>
      </c>
      <c r="E245" s="16" t="s">
        <v>179</v>
      </c>
      <c r="F245" s="16" t="s">
        <v>452</v>
      </c>
      <c r="G245" s="28" t="s">
        <v>76</v>
      </c>
      <c r="H245" s="28" t="s">
        <v>60</v>
      </c>
      <c r="I245" s="16" t="s">
        <v>75</v>
      </c>
      <c r="J245" s="28" t="s">
        <v>62</v>
      </c>
      <c r="K245" s="16" t="s">
        <v>104</v>
      </c>
      <c r="L245" s="28" t="s">
        <v>197</v>
      </c>
      <c r="M245" s="31">
        <f>99949/2</f>
        <v>49974.5</v>
      </c>
    </row>
    <row r="246" spans="1:13" ht="45" x14ac:dyDescent="0.25">
      <c r="A246" s="35"/>
      <c r="B246" s="35"/>
      <c r="C246" s="29">
        <v>42293</v>
      </c>
      <c r="D246" s="33">
        <v>16073</v>
      </c>
      <c r="E246" s="16" t="s">
        <v>179</v>
      </c>
      <c r="F246" s="16" t="s">
        <v>456</v>
      </c>
      <c r="G246" s="28" t="s">
        <v>76</v>
      </c>
      <c r="H246" s="28" t="s">
        <v>60</v>
      </c>
      <c r="I246" s="16" t="s">
        <v>75</v>
      </c>
      <c r="J246" s="28" t="s">
        <v>62</v>
      </c>
      <c r="K246" s="16" t="s">
        <v>104</v>
      </c>
      <c r="L246" s="28" t="s">
        <v>197</v>
      </c>
      <c r="M246" s="31">
        <v>99514</v>
      </c>
    </row>
    <row r="247" spans="1:13" x14ac:dyDescent="0.25">
      <c r="A247" s="35"/>
      <c r="B247" s="35"/>
      <c r="C247" s="29">
        <v>42306</v>
      </c>
      <c r="D247" s="33">
        <v>16076</v>
      </c>
      <c r="E247" s="16" t="s">
        <v>463</v>
      </c>
      <c r="F247" s="16" t="s">
        <v>464</v>
      </c>
      <c r="G247" s="28" t="s">
        <v>76</v>
      </c>
      <c r="H247" s="28" t="s">
        <v>60</v>
      </c>
      <c r="I247" s="16" t="s">
        <v>75</v>
      </c>
      <c r="J247" s="28" t="s">
        <v>62</v>
      </c>
      <c r="K247" s="16" t="s">
        <v>104</v>
      </c>
      <c r="L247" s="28" t="s">
        <v>198</v>
      </c>
      <c r="M247" s="31">
        <f>554374*40%</f>
        <v>221749.6</v>
      </c>
    </row>
    <row r="248" spans="1:13" ht="60" x14ac:dyDescent="0.25">
      <c r="A248" s="35"/>
      <c r="B248" s="35"/>
      <c r="C248" s="29">
        <v>42279</v>
      </c>
      <c r="D248" s="33">
        <v>16067</v>
      </c>
      <c r="E248" s="16" t="s">
        <v>438</v>
      </c>
      <c r="F248" s="16" t="s">
        <v>439</v>
      </c>
      <c r="G248" s="28" t="s">
        <v>76</v>
      </c>
      <c r="H248" s="28" t="s">
        <v>60</v>
      </c>
      <c r="I248" s="16" t="s">
        <v>75</v>
      </c>
      <c r="J248" s="28" t="s">
        <v>62</v>
      </c>
      <c r="K248" s="16" t="s">
        <v>104</v>
      </c>
      <c r="L248" s="28" t="s">
        <v>197</v>
      </c>
      <c r="M248" s="31">
        <v>86080</v>
      </c>
    </row>
    <row r="249" spans="1:13" ht="30" x14ac:dyDescent="0.25">
      <c r="C249" s="23">
        <v>42321</v>
      </c>
      <c r="D249" s="34">
        <v>14097</v>
      </c>
      <c r="E249" s="24" t="s">
        <v>103</v>
      </c>
      <c r="F249" s="24" t="s">
        <v>526</v>
      </c>
      <c r="G249" s="25" t="s">
        <v>59</v>
      </c>
      <c r="H249" s="25" t="s">
        <v>60</v>
      </c>
      <c r="I249" s="24" t="s">
        <v>527</v>
      </c>
      <c r="J249" s="25" t="s">
        <v>62</v>
      </c>
      <c r="K249" s="24" t="s">
        <v>528</v>
      </c>
      <c r="L249" s="25" t="s">
        <v>198</v>
      </c>
      <c r="M249" s="26">
        <v>20035</v>
      </c>
    </row>
    <row r="250" spans="1:13" ht="30" x14ac:dyDescent="0.25">
      <c r="C250" s="23">
        <v>42309</v>
      </c>
      <c r="D250" s="34">
        <v>16087</v>
      </c>
      <c r="E250" s="24" t="s">
        <v>174</v>
      </c>
      <c r="F250" s="24" t="s">
        <v>491</v>
      </c>
      <c r="G250" s="25" t="s">
        <v>59</v>
      </c>
      <c r="H250" s="25" t="s">
        <v>60</v>
      </c>
      <c r="I250" s="24" t="s">
        <v>75</v>
      </c>
      <c r="J250" s="25" t="s">
        <v>62</v>
      </c>
      <c r="K250" s="24" t="s">
        <v>104</v>
      </c>
      <c r="L250" s="25" t="s">
        <v>197</v>
      </c>
      <c r="M250" s="26">
        <f>121876*30%</f>
        <v>36562.799999999996</v>
      </c>
    </row>
    <row r="251" spans="1:13" ht="45" x14ac:dyDescent="0.25">
      <c r="C251" s="23">
        <v>42317</v>
      </c>
      <c r="D251" s="34">
        <v>16091</v>
      </c>
      <c r="E251" s="24" t="s">
        <v>521</v>
      </c>
      <c r="F251" s="24" t="s">
        <v>522</v>
      </c>
      <c r="G251" s="25" t="s">
        <v>59</v>
      </c>
      <c r="H251" s="25" t="s">
        <v>60</v>
      </c>
      <c r="I251" s="24" t="s">
        <v>75</v>
      </c>
      <c r="J251" s="25" t="s">
        <v>62</v>
      </c>
      <c r="K251" s="24" t="s">
        <v>104</v>
      </c>
      <c r="L251" s="25" t="s">
        <v>197</v>
      </c>
      <c r="M251" s="26">
        <v>408410</v>
      </c>
    </row>
    <row r="252" spans="1:13" ht="60" x14ac:dyDescent="0.25">
      <c r="C252" s="23">
        <v>42309</v>
      </c>
      <c r="D252" s="34">
        <v>16089</v>
      </c>
      <c r="E252" s="24" t="s">
        <v>495</v>
      </c>
      <c r="F252" s="24" t="s">
        <v>496</v>
      </c>
      <c r="G252" s="25" t="s">
        <v>86</v>
      </c>
      <c r="H252" s="25" t="s">
        <v>60</v>
      </c>
      <c r="I252" s="24" t="s">
        <v>75</v>
      </c>
      <c r="J252" s="25" t="s">
        <v>62</v>
      </c>
      <c r="K252" s="24" t="s">
        <v>104</v>
      </c>
      <c r="L252" s="25" t="s">
        <v>197</v>
      </c>
      <c r="M252" s="26">
        <v>52383</v>
      </c>
    </row>
    <row r="253" spans="1:13" ht="30" x14ac:dyDescent="0.25">
      <c r="C253" s="23">
        <v>42309</v>
      </c>
      <c r="D253" s="34">
        <v>16087</v>
      </c>
      <c r="E253" s="24" t="s">
        <v>188</v>
      </c>
      <c r="F253" s="24" t="s">
        <v>491</v>
      </c>
      <c r="G253" s="25" t="s">
        <v>86</v>
      </c>
      <c r="H253" s="25" t="s">
        <v>60</v>
      </c>
      <c r="I253" s="24" t="s">
        <v>75</v>
      </c>
      <c r="J253" s="25" t="s">
        <v>62</v>
      </c>
      <c r="K253" s="24" t="s">
        <v>104</v>
      </c>
      <c r="L253" s="25" t="s">
        <v>197</v>
      </c>
      <c r="M253" s="26">
        <f>121876*20%</f>
        <v>24375.200000000001</v>
      </c>
    </row>
    <row r="254" spans="1:13" ht="30" x14ac:dyDescent="0.25">
      <c r="C254" s="23">
        <v>42320</v>
      </c>
      <c r="D254" s="34">
        <v>16094</v>
      </c>
      <c r="E254" s="24" t="s">
        <v>523</v>
      </c>
      <c r="F254" s="24" t="s">
        <v>524</v>
      </c>
      <c r="G254" s="25" t="s">
        <v>132</v>
      </c>
      <c r="H254" s="25" t="s">
        <v>60</v>
      </c>
      <c r="I254" s="24" t="s">
        <v>102</v>
      </c>
      <c r="J254" s="25" t="s">
        <v>62</v>
      </c>
      <c r="K254" s="24" t="s">
        <v>104</v>
      </c>
      <c r="L254" s="25" t="s">
        <v>52</v>
      </c>
      <c r="M254" s="26">
        <v>20000</v>
      </c>
    </row>
    <row r="255" spans="1:13" ht="30" x14ac:dyDescent="0.25">
      <c r="C255" s="23">
        <v>42309</v>
      </c>
      <c r="D255" s="34">
        <v>16087</v>
      </c>
      <c r="E255" s="24" t="s">
        <v>493</v>
      </c>
      <c r="F255" s="24" t="s">
        <v>491</v>
      </c>
      <c r="G255" s="25" t="s">
        <v>132</v>
      </c>
      <c r="H255" s="25" t="s">
        <v>60</v>
      </c>
      <c r="I255" s="24" t="s">
        <v>75</v>
      </c>
      <c r="J255" s="25" t="s">
        <v>62</v>
      </c>
      <c r="K255" s="24" t="s">
        <v>104</v>
      </c>
      <c r="L255" s="25" t="s">
        <v>197</v>
      </c>
      <c r="M255" s="26">
        <f>121876*20%</f>
        <v>24375.200000000001</v>
      </c>
    </row>
    <row r="256" spans="1:13" ht="45" x14ac:dyDescent="0.25">
      <c r="C256" s="23">
        <v>42309</v>
      </c>
      <c r="D256" s="34">
        <v>16088</v>
      </c>
      <c r="E256" s="24" t="s">
        <v>179</v>
      </c>
      <c r="F256" s="24" t="s">
        <v>494</v>
      </c>
      <c r="G256" s="25" t="s">
        <v>76</v>
      </c>
      <c r="H256" s="25" t="s">
        <v>60</v>
      </c>
      <c r="I256" s="24" t="s">
        <v>75</v>
      </c>
      <c r="J256" s="25" t="s">
        <v>62</v>
      </c>
      <c r="K256" s="24" t="s">
        <v>104</v>
      </c>
      <c r="L256" s="25" t="s">
        <v>197</v>
      </c>
      <c r="M256" s="26">
        <f>314540*60%</f>
        <v>188724</v>
      </c>
    </row>
    <row r="257" spans="3:13" ht="60" x14ac:dyDescent="0.25">
      <c r="C257" s="23">
        <v>42309</v>
      </c>
      <c r="D257" s="34">
        <v>16090</v>
      </c>
      <c r="E257" s="24" t="s">
        <v>497</v>
      </c>
      <c r="F257" s="24" t="s">
        <v>498</v>
      </c>
      <c r="G257" s="25" t="s">
        <v>76</v>
      </c>
      <c r="H257" s="25" t="s">
        <v>60</v>
      </c>
      <c r="I257" s="24" t="s">
        <v>75</v>
      </c>
      <c r="J257" s="25" t="s">
        <v>62</v>
      </c>
      <c r="K257" s="24" t="s">
        <v>104</v>
      </c>
      <c r="L257" s="25" t="s">
        <v>197</v>
      </c>
      <c r="M257" s="26">
        <f>499878/2</f>
        <v>249939</v>
      </c>
    </row>
    <row r="258" spans="3:13" ht="45" x14ac:dyDescent="0.25">
      <c r="C258" s="23">
        <v>42321</v>
      </c>
      <c r="D258" s="34">
        <v>16093</v>
      </c>
      <c r="E258" s="24" t="s">
        <v>529</v>
      </c>
      <c r="F258" s="24" t="s">
        <v>530</v>
      </c>
      <c r="G258" s="25" t="s">
        <v>76</v>
      </c>
      <c r="H258" s="25" t="s">
        <v>60</v>
      </c>
      <c r="I258" s="24" t="s">
        <v>75</v>
      </c>
      <c r="J258" s="25" t="s">
        <v>62</v>
      </c>
      <c r="K258" s="24" t="s">
        <v>104</v>
      </c>
      <c r="L258" s="25" t="s">
        <v>197</v>
      </c>
      <c r="M258" s="26">
        <f>468692*50%</f>
        <v>234346</v>
      </c>
    </row>
    <row r="259" spans="3:13" ht="30" x14ac:dyDescent="0.25">
      <c r="C259" s="23">
        <v>42324</v>
      </c>
      <c r="D259" s="34">
        <v>16097</v>
      </c>
      <c r="E259" s="24" t="s">
        <v>113</v>
      </c>
      <c r="F259" s="24" t="s">
        <v>187</v>
      </c>
      <c r="G259" s="25" t="s">
        <v>76</v>
      </c>
      <c r="H259" s="25" t="s">
        <v>60</v>
      </c>
      <c r="I259" s="24" t="s">
        <v>75</v>
      </c>
      <c r="J259" s="25" t="s">
        <v>62</v>
      </c>
      <c r="K259" s="24" t="s">
        <v>104</v>
      </c>
      <c r="L259" s="25" t="s">
        <v>198</v>
      </c>
      <c r="M259" s="26">
        <v>743734</v>
      </c>
    </row>
    <row r="260" spans="3:13" ht="30" x14ac:dyDescent="0.25">
      <c r="C260" s="23">
        <v>42321</v>
      </c>
      <c r="D260" s="34">
        <v>16100</v>
      </c>
      <c r="E260" s="24" t="s">
        <v>463</v>
      </c>
      <c r="F260" s="24" t="s">
        <v>531</v>
      </c>
      <c r="G260" s="25" t="s">
        <v>76</v>
      </c>
      <c r="H260" s="25" t="s">
        <v>60</v>
      </c>
      <c r="I260" s="24" t="s">
        <v>75</v>
      </c>
      <c r="J260" s="25" t="s">
        <v>62</v>
      </c>
      <c r="K260" s="24" t="s">
        <v>104</v>
      </c>
      <c r="L260" s="25" t="s">
        <v>198</v>
      </c>
      <c r="M260" s="26">
        <f>499346*40%</f>
        <v>199738.40000000002</v>
      </c>
    </row>
    <row r="261" spans="3:13" ht="45" x14ac:dyDescent="0.25">
      <c r="C261" s="23">
        <v>42321</v>
      </c>
      <c r="D261" s="34">
        <v>16093</v>
      </c>
      <c r="E261" s="24" t="s">
        <v>140</v>
      </c>
      <c r="F261" s="24" t="s">
        <v>530</v>
      </c>
      <c r="G261" s="25" t="s">
        <v>76</v>
      </c>
      <c r="H261" s="25" t="s">
        <v>60</v>
      </c>
      <c r="I261" s="24" t="s">
        <v>75</v>
      </c>
      <c r="J261" s="25" t="s">
        <v>62</v>
      </c>
      <c r="K261" s="24" t="s">
        <v>104</v>
      </c>
      <c r="L261" s="25" t="s">
        <v>197</v>
      </c>
      <c r="M261" s="26">
        <f>468692*50%</f>
        <v>234346</v>
      </c>
    </row>
    <row r="262" spans="3:13" ht="45" x14ac:dyDescent="0.25">
      <c r="C262" s="23">
        <v>42309</v>
      </c>
      <c r="D262" s="34">
        <v>16088</v>
      </c>
      <c r="E262" s="24" t="s">
        <v>438</v>
      </c>
      <c r="F262" s="24" t="s">
        <v>494</v>
      </c>
      <c r="G262" s="25" t="s">
        <v>76</v>
      </c>
      <c r="H262" s="25" t="s">
        <v>60</v>
      </c>
      <c r="I262" s="24" t="s">
        <v>75</v>
      </c>
      <c r="J262" s="25" t="s">
        <v>62</v>
      </c>
      <c r="K262" s="24" t="s">
        <v>104</v>
      </c>
      <c r="L262" s="25" t="s">
        <v>197</v>
      </c>
      <c r="M262" s="26">
        <f>314540*40%</f>
        <v>125816</v>
      </c>
    </row>
    <row r="263" spans="3:13" ht="60" x14ac:dyDescent="0.25">
      <c r="C263" s="23">
        <v>42309</v>
      </c>
      <c r="D263" s="34">
        <v>16090</v>
      </c>
      <c r="E263" s="24" t="s">
        <v>438</v>
      </c>
      <c r="F263" s="24" t="s">
        <v>498</v>
      </c>
      <c r="G263" s="25" t="s">
        <v>76</v>
      </c>
      <c r="H263" s="25" t="s">
        <v>60</v>
      </c>
      <c r="I263" s="24" t="s">
        <v>75</v>
      </c>
      <c r="J263" s="25" t="s">
        <v>62</v>
      </c>
      <c r="K263" s="24" t="s">
        <v>104</v>
      </c>
      <c r="L263" s="25" t="s">
        <v>197</v>
      </c>
      <c r="M263" s="26">
        <f>499878/2</f>
        <v>249939</v>
      </c>
    </row>
    <row r="264" spans="3:13" ht="30" x14ac:dyDescent="0.25">
      <c r="C264" s="23">
        <v>42353</v>
      </c>
      <c r="D264" s="34">
        <v>16110</v>
      </c>
      <c r="E264" s="24" t="s">
        <v>561</v>
      </c>
      <c r="F264" s="24" t="s">
        <v>562</v>
      </c>
      <c r="G264" s="25" t="s">
        <v>59</v>
      </c>
      <c r="H264" s="25" t="s">
        <v>60</v>
      </c>
      <c r="I264" s="24" t="s">
        <v>563</v>
      </c>
      <c r="J264" s="25" t="s">
        <v>69</v>
      </c>
      <c r="K264" s="24" t="s">
        <v>104</v>
      </c>
      <c r="L264" s="25" t="s">
        <v>198</v>
      </c>
      <c r="M264" s="26">
        <v>80000</v>
      </c>
    </row>
    <row r="265" spans="3:13" x14ac:dyDescent="0.25">
      <c r="C265" s="23">
        <v>42369</v>
      </c>
      <c r="D265" s="34" t="s">
        <v>359</v>
      </c>
      <c r="E265" s="24" t="s">
        <v>165</v>
      </c>
      <c r="F265" s="24" t="s">
        <v>360</v>
      </c>
      <c r="G265" s="25" t="s">
        <v>59</v>
      </c>
      <c r="H265" s="25" t="s">
        <v>60</v>
      </c>
      <c r="I265" s="24" t="s">
        <v>104</v>
      </c>
      <c r="J265" s="25" t="s">
        <v>58</v>
      </c>
      <c r="K265" s="24" t="s">
        <v>104</v>
      </c>
      <c r="L265" s="25" t="s">
        <v>53</v>
      </c>
      <c r="M265" s="26">
        <v>6822.87</v>
      </c>
    </row>
    <row r="266" spans="3:13" x14ac:dyDescent="0.25">
      <c r="C266" s="23">
        <v>42369</v>
      </c>
      <c r="D266" s="34" t="s">
        <v>363</v>
      </c>
      <c r="E266" s="24" t="s">
        <v>332</v>
      </c>
      <c r="F266" s="24" t="s">
        <v>364</v>
      </c>
      <c r="G266" s="25" t="s">
        <v>59</v>
      </c>
      <c r="H266" s="25" t="s">
        <v>60</v>
      </c>
      <c r="I266" s="24" t="s">
        <v>104</v>
      </c>
      <c r="J266" s="25" t="s">
        <v>58</v>
      </c>
      <c r="K266" s="24" t="s">
        <v>104</v>
      </c>
      <c r="L266" s="25" t="s">
        <v>53</v>
      </c>
      <c r="M266" s="26">
        <v>1400</v>
      </c>
    </row>
    <row r="267" spans="3:13" ht="30" x14ac:dyDescent="0.25">
      <c r="C267" s="23">
        <v>42339</v>
      </c>
      <c r="D267" s="34">
        <v>16103</v>
      </c>
      <c r="E267" s="24" t="s">
        <v>445</v>
      </c>
      <c r="F267" s="24" t="s">
        <v>544</v>
      </c>
      <c r="G267" s="25" t="s">
        <v>132</v>
      </c>
      <c r="H267" s="25" t="s">
        <v>60</v>
      </c>
      <c r="I267" s="24" t="s">
        <v>75</v>
      </c>
      <c r="J267" s="25" t="s">
        <v>62</v>
      </c>
      <c r="K267" s="24" t="s">
        <v>104</v>
      </c>
      <c r="L267" s="25" t="s">
        <v>197</v>
      </c>
      <c r="M267" s="26">
        <f>296212*3%</f>
        <v>8886.3599999999988</v>
      </c>
    </row>
    <row r="268" spans="3:13" ht="30" x14ac:dyDescent="0.25">
      <c r="C268" s="23">
        <v>42339</v>
      </c>
      <c r="D268" s="34">
        <v>16103</v>
      </c>
      <c r="E268" s="24" t="s">
        <v>131</v>
      </c>
      <c r="F268" s="24" t="s">
        <v>544</v>
      </c>
      <c r="G268" s="25" t="s">
        <v>132</v>
      </c>
      <c r="H268" s="25" t="s">
        <v>60</v>
      </c>
      <c r="I268" s="24" t="s">
        <v>75</v>
      </c>
      <c r="J268" s="25" t="s">
        <v>62</v>
      </c>
      <c r="K268" s="24" t="s">
        <v>104</v>
      </c>
      <c r="L268" s="25" t="s">
        <v>197</v>
      </c>
      <c r="M268" s="26">
        <f>296212*7%</f>
        <v>20734.840000000004</v>
      </c>
    </row>
    <row r="269" spans="3:13" ht="30" x14ac:dyDescent="0.25">
      <c r="C269" s="23">
        <v>42339</v>
      </c>
      <c r="D269" s="34">
        <v>16103</v>
      </c>
      <c r="E269" s="24" t="s">
        <v>545</v>
      </c>
      <c r="F269" s="24" t="s">
        <v>544</v>
      </c>
      <c r="G269" s="25" t="s">
        <v>132</v>
      </c>
      <c r="H269" s="25" t="s">
        <v>60</v>
      </c>
      <c r="I269" s="24" t="s">
        <v>75</v>
      </c>
      <c r="J269" s="25" t="s">
        <v>62</v>
      </c>
      <c r="K269" s="24" t="s">
        <v>104</v>
      </c>
      <c r="L269" s="25" t="s">
        <v>197</v>
      </c>
      <c r="M269" s="26">
        <f>296212*35%</f>
        <v>103674.2</v>
      </c>
    </row>
    <row r="270" spans="3:13" ht="30" x14ac:dyDescent="0.25">
      <c r="C270" s="23">
        <v>42339</v>
      </c>
      <c r="D270" s="34">
        <v>16103</v>
      </c>
      <c r="E270" s="24" t="s">
        <v>546</v>
      </c>
      <c r="F270" s="24" t="s">
        <v>544</v>
      </c>
      <c r="G270" s="25" t="s">
        <v>132</v>
      </c>
      <c r="H270" s="25" t="s">
        <v>60</v>
      </c>
      <c r="I270" s="24" t="s">
        <v>75</v>
      </c>
      <c r="J270" s="25" t="s">
        <v>62</v>
      </c>
      <c r="K270" s="24" t="s">
        <v>104</v>
      </c>
      <c r="L270" s="25" t="s">
        <v>197</v>
      </c>
      <c r="M270" s="26">
        <f>296212*35%</f>
        <v>103674.2</v>
      </c>
    </row>
    <row r="271" spans="3:13" ht="30" x14ac:dyDescent="0.25">
      <c r="C271" s="23">
        <v>42354</v>
      </c>
      <c r="D271" s="34">
        <v>15123</v>
      </c>
      <c r="E271" s="24" t="s">
        <v>564</v>
      </c>
      <c r="F271" s="24" t="s">
        <v>565</v>
      </c>
      <c r="G271" s="25" t="s">
        <v>94</v>
      </c>
      <c r="H271" s="25" t="s">
        <v>60</v>
      </c>
      <c r="I271" s="24" t="s">
        <v>96</v>
      </c>
      <c r="J271" s="25" t="s">
        <v>62</v>
      </c>
      <c r="K271" s="24" t="s">
        <v>89</v>
      </c>
      <c r="L271" s="25" t="s">
        <v>52</v>
      </c>
      <c r="M271" s="26">
        <f>158473*40%</f>
        <v>63389.200000000004</v>
      </c>
    </row>
    <row r="272" spans="3:13" ht="60" x14ac:dyDescent="0.25">
      <c r="C272" s="23">
        <v>42352</v>
      </c>
      <c r="D272" s="34">
        <v>16111</v>
      </c>
      <c r="E272" s="24" t="s">
        <v>113</v>
      </c>
      <c r="F272" s="24" t="s">
        <v>559</v>
      </c>
      <c r="G272" s="25" t="s">
        <v>76</v>
      </c>
      <c r="H272" s="25" t="s">
        <v>60</v>
      </c>
      <c r="I272" s="24" t="s">
        <v>75</v>
      </c>
      <c r="J272" s="25" t="s">
        <v>62</v>
      </c>
      <c r="K272" s="24" t="s">
        <v>560</v>
      </c>
      <c r="L272" s="25" t="s">
        <v>197</v>
      </c>
      <c r="M272" s="26">
        <v>198962</v>
      </c>
    </row>
    <row r="273" spans="3:13" ht="45" x14ac:dyDescent="0.25">
      <c r="C273" s="23">
        <v>42376</v>
      </c>
      <c r="D273" s="34">
        <v>16114</v>
      </c>
      <c r="E273" s="24" t="s">
        <v>580</v>
      </c>
      <c r="F273" s="24" t="s">
        <v>581</v>
      </c>
      <c r="G273" s="25" t="s">
        <v>59</v>
      </c>
      <c r="H273" s="25" t="s">
        <v>60</v>
      </c>
      <c r="I273" s="24" t="s">
        <v>582</v>
      </c>
      <c r="J273" s="25" t="s">
        <v>69</v>
      </c>
      <c r="K273" s="24" t="s">
        <v>104</v>
      </c>
      <c r="L273" s="25" t="s">
        <v>197</v>
      </c>
      <c r="M273" s="26">
        <v>152460</v>
      </c>
    </row>
    <row r="274" spans="3:13" ht="45" x14ac:dyDescent="0.25">
      <c r="C274" s="23">
        <v>42376</v>
      </c>
      <c r="D274" s="34">
        <v>16115</v>
      </c>
      <c r="E274" s="24" t="s">
        <v>580</v>
      </c>
      <c r="F274" s="24" t="s">
        <v>583</v>
      </c>
      <c r="G274" s="25" t="s">
        <v>59</v>
      </c>
      <c r="H274" s="25" t="s">
        <v>60</v>
      </c>
      <c r="I274" s="24" t="s">
        <v>582</v>
      </c>
      <c r="J274" s="25" t="s">
        <v>69</v>
      </c>
      <c r="K274" s="24" t="s">
        <v>104</v>
      </c>
      <c r="L274" s="25" t="s">
        <v>197</v>
      </c>
      <c r="M274" s="26">
        <v>231000</v>
      </c>
    </row>
    <row r="275" spans="3:13" ht="30" x14ac:dyDescent="0.25">
      <c r="C275" s="23">
        <v>42370</v>
      </c>
      <c r="D275" s="34">
        <v>16117</v>
      </c>
      <c r="E275" s="24" t="s">
        <v>103</v>
      </c>
      <c r="F275" s="24" t="s">
        <v>570</v>
      </c>
      <c r="G275" s="25" t="s">
        <v>59</v>
      </c>
      <c r="H275" s="25" t="s">
        <v>60</v>
      </c>
      <c r="I275" s="24" t="s">
        <v>571</v>
      </c>
      <c r="J275" s="25" t="s">
        <v>70</v>
      </c>
      <c r="K275" s="24" t="s">
        <v>572</v>
      </c>
      <c r="L275" s="25" t="s">
        <v>197</v>
      </c>
      <c r="M275" s="26">
        <v>13798</v>
      </c>
    </row>
    <row r="276" spans="3:13" ht="30" x14ac:dyDescent="0.25">
      <c r="C276" s="23">
        <v>42380</v>
      </c>
      <c r="D276" s="34">
        <v>16112</v>
      </c>
      <c r="E276" s="24" t="s">
        <v>586</v>
      </c>
      <c r="F276" s="24" t="s">
        <v>584</v>
      </c>
      <c r="G276" s="25" t="s">
        <v>86</v>
      </c>
      <c r="H276" s="25" t="s">
        <v>60</v>
      </c>
      <c r="I276" s="24" t="s">
        <v>75</v>
      </c>
      <c r="J276" s="25" t="s">
        <v>62</v>
      </c>
      <c r="K276" s="24" t="s">
        <v>104</v>
      </c>
      <c r="L276" s="25" t="s">
        <v>56</v>
      </c>
      <c r="M276" s="26">
        <f>339880*9%</f>
        <v>30589.199999999997</v>
      </c>
    </row>
    <row r="277" spans="3:13" ht="30" x14ac:dyDescent="0.25">
      <c r="C277" s="23">
        <v>42380</v>
      </c>
      <c r="D277" s="34">
        <v>16112</v>
      </c>
      <c r="E277" s="24" t="s">
        <v>587</v>
      </c>
      <c r="F277" s="24" t="s">
        <v>584</v>
      </c>
      <c r="G277" s="25" t="s">
        <v>86</v>
      </c>
      <c r="H277" s="25" t="s">
        <v>60</v>
      </c>
      <c r="I277" s="24" t="s">
        <v>75</v>
      </c>
      <c r="J277" s="25" t="s">
        <v>62</v>
      </c>
      <c r="K277" s="24" t="s">
        <v>104</v>
      </c>
      <c r="L277" s="25" t="s">
        <v>56</v>
      </c>
      <c r="M277" s="26">
        <f>339880*9%</f>
        <v>30589.199999999997</v>
      </c>
    </row>
    <row r="278" spans="3:13" ht="30" x14ac:dyDescent="0.25">
      <c r="C278" s="23">
        <v>42380</v>
      </c>
      <c r="D278" s="34">
        <v>16112</v>
      </c>
      <c r="E278" s="24" t="s">
        <v>188</v>
      </c>
      <c r="F278" s="24" t="s">
        <v>584</v>
      </c>
      <c r="G278" s="25" t="s">
        <v>86</v>
      </c>
      <c r="H278" s="25" t="s">
        <v>60</v>
      </c>
      <c r="I278" s="24" t="s">
        <v>75</v>
      </c>
      <c r="J278" s="25" t="s">
        <v>62</v>
      </c>
      <c r="K278" s="24" t="s">
        <v>104</v>
      </c>
      <c r="L278" s="25" t="s">
        <v>56</v>
      </c>
      <c r="M278" s="26">
        <f>339880*9%</f>
        <v>30589.199999999997</v>
      </c>
    </row>
    <row r="279" spans="3:13" ht="75" x14ac:dyDescent="0.25">
      <c r="C279" s="23">
        <v>42380</v>
      </c>
      <c r="D279" s="34">
        <v>16113</v>
      </c>
      <c r="E279" s="24" t="s">
        <v>235</v>
      </c>
      <c r="F279" s="24" t="s">
        <v>589</v>
      </c>
      <c r="G279" s="25" t="s">
        <v>132</v>
      </c>
      <c r="H279" s="25" t="s">
        <v>60</v>
      </c>
      <c r="I279" s="24" t="s">
        <v>75</v>
      </c>
      <c r="J279" s="25" t="s">
        <v>62</v>
      </c>
      <c r="K279" s="24" t="s">
        <v>104</v>
      </c>
      <c r="L279" s="25" t="s">
        <v>197</v>
      </c>
      <c r="M279" s="26">
        <v>228981</v>
      </c>
    </row>
    <row r="280" spans="3:13" ht="60" x14ac:dyDescent="0.25">
      <c r="C280" s="23">
        <v>42382</v>
      </c>
      <c r="D280" s="34">
        <v>16118</v>
      </c>
      <c r="E280" s="24" t="s">
        <v>592</v>
      </c>
      <c r="F280" s="24" t="s">
        <v>591</v>
      </c>
      <c r="G280" s="25" t="s">
        <v>132</v>
      </c>
      <c r="H280" s="25" t="s">
        <v>60</v>
      </c>
      <c r="I280" s="24" t="s">
        <v>75</v>
      </c>
      <c r="J280" s="25" t="s">
        <v>62</v>
      </c>
      <c r="K280" s="24" t="s">
        <v>104</v>
      </c>
      <c r="L280" s="25" t="s">
        <v>56</v>
      </c>
      <c r="M280" s="26">
        <f>987803*15%</f>
        <v>148170.44999999998</v>
      </c>
    </row>
    <row r="281" spans="3:13" ht="60" x14ac:dyDescent="0.25">
      <c r="C281" s="23">
        <v>42382</v>
      </c>
      <c r="D281" s="34">
        <v>16118</v>
      </c>
      <c r="E281" s="24" t="s">
        <v>593</v>
      </c>
      <c r="F281" s="24" t="s">
        <v>591</v>
      </c>
      <c r="G281" s="25" t="s">
        <v>132</v>
      </c>
      <c r="H281" s="25" t="s">
        <v>60</v>
      </c>
      <c r="I281" s="24" t="s">
        <v>75</v>
      </c>
      <c r="J281" s="25" t="s">
        <v>62</v>
      </c>
      <c r="K281" s="24" t="s">
        <v>104</v>
      </c>
      <c r="L281" s="25" t="s">
        <v>56</v>
      </c>
      <c r="M281" s="26">
        <f>987803*15%</f>
        <v>148170.44999999998</v>
      </c>
    </row>
    <row r="282" spans="3:13" ht="60" x14ac:dyDescent="0.25">
      <c r="C282" s="23">
        <v>42382</v>
      </c>
      <c r="D282" s="34">
        <v>16118</v>
      </c>
      <c r="E282" s="24" t="s">
        <v>235</v>
      </c>
      <c r="F282" s="24" t="s">
        <v>591</v>
      </c>
      <c r="G282" s="25" t="s">
        <v>132</v>
      </c>
      <c r="H282" s="25" t="s">
        <v>60</v>
      </c>
      <c r="I282" s="24" t="s">
        <v>75</v>
      </c>
      <c r="J282" s="25" t="s">
        <v>62</v>
      </c>
      <c r="K282" s="24" t="s">
        <v>104</v>
      </c>
      <c r="L282" s="25" t="s">
        <v>56</v>
      </c>
      <c r="M282" s="26">
        <v>543292</v>
      </c>
    </row>
    <row r="283" spans="3:13" ht="60" x14ac:dyDescent="0.25">
      <c r="C283" s="23">
        <v>42382</v>
      </c>
      <c r="D283" s="34">
        <v>16118</v>
      </c>
      <c r="E283" s="24" t="s">
        <v>154</v>
      </c>
      <c r="F283" s="24" t="s">
        <v>591</v>
      </c>
      <c r="G283" s="25" t="s">
        <v>132</v>
      </c>
      <c r="H283" s="25" t="s">
        <v>60</v>
      </c>
      <c r="I283" s="24" t="s">
        <v>75</v>
      </c>
      <c r="J283" s="25" t="s">
        <v>62</v>
      </c>
      <c r="K283" s="24" t="s">
        <v>104</v>
      </c>
      <c r="L283" s="25" t="s">
        <v>56</v>
      </c>
      <c r="M283" s="26">
        <f>987803*15%</f>
        <v>148170.44999999998</v>
      </c>
    </row>
    <row r="284" spans="3:13" ht="30" x14ac:dyDescent="0.25">
      <c r="C284" s="23">
        <v>42380</v>
      </c>
      <c r="D284" s="34">
        <v>16112</v>
      </c>
      <c r="E284" s="24" t="s">
        <v>588</v>
      </c>
      <c r="F284" s="24" t="s">
        <v>584</v>
      </c>
      <c r="G284" s="25" t="s">
        <v>76</v>
      </c>
      <c r="H284" s="25" t="s">
        <v>60</v>
      </c>
      <c r="I284" s="24" t="s">
        <v>75</v>
      </c>
      <c r="J284" s="25" t="s">
        <v>62</v>
      </c>
      <c r="K284" s="24" t="s">
        <v>104</v>
      </c>
      <c r="L284" s="25" t="s">
        <v>56</v>
      </c>
      <c r="M284" s="26">
        <f>339880*9%</f>
        <v>30589.199999999997</v>
      </c>
    </row>
    <row r="285" spans="3:13" ht="30" x14ac:dyDescent="0.25">
      <c r="C285" s="23">
        <v>42380</v>
      </c>
      <c r="D285" s="34">
        <v>16112</v>
      </c>
      <c r="E285" s="24" t="s">
        <v>123</v>
      </c>
      <c r="F285" s="24" t="s">
        <v>584</v>
      </c>
      <c r="G285" s="25" t="s">
        <v>76</v>
      </c>
      <c r="H285" s="25" t="s">
        <v>60</v>
      </c>
      <c r="I285" s="24" t="s">
        <v>75</v>
      </c>
      <c r="J285" s="25" t="s">
        <v>62</v>
      </c>
      <c r="K285" s="24" t="s">
        <v>104</v>
      </c>
      <c r="L285" s="25" t="s">
        <v>56</v>
      </c>
      <c r="M285" s="26">
        <f>339880*9%</f>
        <v>30589.199999999997</v>
      </c>
    </row>
    <row r="286" spans="3:13" ht="30" x14ac:dyDescent="0.25">
      <c r="C286" s="23">
        <v>42380</v>
      </c>
      <c r="D286" s="34">
        <v>16112</v>
      </c>
      <c r="E286" s="24" t="s">
        <v>179</v>
      </c>
      <c r="F286" s="24" t="s">
        <v>584</v>
      </c>
      <c r="G286" s="25" t="s">
        <v>76</v>
      </c>
      <c r="H286" s="25" t="s">
        <v>60</v>
      </c>
      <c r="I286" s="24" t="s">
        <v>75</v>
      </c>
      <c r="J286" s="25" t="s">
        <v>62</v>
      </c>
      <c r="K286" s="24" t="s">
        <v>104</v>
      </c>
      <c r="L286" s="25" t="s">
        <v>56</v>
      </c>
      <c r="M286" s="26">
        <f>64577</f>
        <v>64577</v>
      </c>
    </row>
    <row r="287" spans="3:13" ht="30" x14ac:dyDescent="0.25">
      <c r="C287" s="23">
        <v>42380</v>
      </c>
      <c r="D287" s="34">
        <v>16112</v>
      </c>
      <c r="E287" s="24" t="s">
        <v>497</v>
      </c>
      <c r="F287" s="24" t="s">
        <v>584</v>
      </c>
      <c r="G287" s="25" t="s">
        <v>76</v>
      </c>
      <c r="H287" s="25" t="s">
        <v>60</v>
      </c>
      <c r="I287" s="24" t="s">
        <v>75</v>
      </c>
      <c r="J287" s="25" t="s">
        <v>62</v>
      </c>
      <c r="K287" s="24" t="s">
        <v>104</v>
      </c>
      <c r="L287" s="25" t="s">
        <v>56</v>
      </c>
      <c r="M287" s="26">
        <f>339880*9%</f>
        <v>30589.199999999997</v>
      </c>
    </row>
    <row r="288" spans="3:13" ht="30" x14ac:dyDescent="0.25">
      <c r="C288" s="23">
        <v>42380</v>
      </c>
      <c r="D288" s="34">
        <v>16112</v>
      </c>
      <c r="E288" s="24" t="s">
        <v>585</v>
      </c>
      <c r="F288" s="24" t="s">
        <v>584</v>
      </c>
      <c r="G288" s="25" t="s">
        <v>76</v>
      </c>
      <c r="H288" s="25" t="s">
        <v>60</v>
      </c>
      <c r="I288" s="24" t="s">
        <v>75</v>
      </c>
      <c r="J288" s="25" t="s">
        <v>62</v>
      </c>
      <c r="K288" s="24" t="s">
        <v>104</v>
      </c>
      <c r="L288" s="25" t="s">
        <v>56</v>
      </c>
      <c r="M288" s="26">
        <f>339880*9%</f>
        <v>30589.199999999997</v>
      </c>
    </row>
    <row r="289" spans="3:13" ht="30" x14ac:dyDescent="0.25">
      <c r="C289" s="23">
        <v>42380</v>
      </c>
      <c r="D289" s="34">
        <v>16112</v>
      </c>
      <c r="E289" s="24" t="s">
        <v>438</v>
      </c>
      <c r="F289" s="24" t="s">
        <v>584</v>
      </c>
      <c r="G289" s="25" t="s">
        <v>76</v>
      </c>
      <c r="H289" s="25" t="s">
        <v>60</v>
      </c>
      <c r="I289" s="24" t="s">
        <v>75</v>
      </c>
      <c r="J289" s="25" t="s">
        <v>62</v>
      </c>
      <c r="K289" s="24" t="s">
        <v>104</v>
      </c>
      <c r="L289" s="25" t="s">
        <v>56</v>
      </c>
      <c r="M289" s="26">
        <f>339880*9%</f>
        <v>30589.199999999997</v>
      </c>
    </row>
    <row r="290" spans="3:13" ht="30" x14ac:dyDescent="0.25">
      <c r="C290" s="23">
        <v>42380</v>
      </c>
      <c r="D290" s="34">
        <v>16112</v>
      </c>
      <c r="E290" s="24" t="s">
        <v>334</v>
      </c>
      <c r="F290" s="24" t="s">
        <v>584</v>
      </c>
      <c r="G290" s="25" t="s">
        <v>76</v>
      </c>
      <c r="H290" s="25" t="s">
        <v>60</v>
      </c>
      <c r="I290" s="24" t="s">
        <v>75</v>
      </c>
      <c r="J290" s="25" t="s">
        <v>62</v>
      </c>
      <c r="K290" s="24" t="s">
        <v>104</v>
      </c>
      <c r="L290" s="25" t="s">
        <v>56</v>
      </c>
      <c r="M290" s="26">
        <f>339880*9%</f>
        <v>30589.199999999997</v>
      </c>
    </row>
    <row r="291" spans="3:13" ht="60" x14ac:dyDescent="0.25">
      <c r="C291" s="23">
        <v>42388</v>
      </c>
      <c r="D291" s="34">
        <v>16123</v>
      </c>
      <c r="E291" s="24" t="s">
        <v>497</v>
      </c>
      <c r="F291" s="24" t="s">
        <v>597</v>
      </c>
      <c r="G291" s="25" t="s">
        <v>76</v>
      </c>
      <c r="H291" s="25" t="s">
        <v>60</v>
      </c>
      <c r="I291" s="24" t="s">
        <v>75</v>
      </c>
      <c r="J291" s="25" t="s">
        <v>62</v>
      </c>
      <c r="K291" s="24" t="s">
        <v>104</v>
      </c>
      <c r="L291" s="25" t="s">
        <v>197</v>
      </c>
      <c r="M291" s="26">
        <v>242044</v>
      </c>
    </row>
    <row r="292" spans="3:13" ht="60" x14ac:dyDescent="0.25">
      <c r="C292" s="23">
        <v>42388</v>
      </c>
      <c r="D292" s="34">
        <v>16123</v>
      </c>
      <c r="E292" s="24" t="s">
        <v>438</v>
      </c>
      <c r="F292" s="24" t="s">
        <v>598</v>
      </c>
      <c r="G292" s="25" t="s">
        <v>76</v>
      </c>
      <c r="H292" s="25" t="s">
        <v>60</v>
      </c>
      <c r="I292" s="24" t="s">
        <v>75</v>
      </c>
      <c r="J292" s="25" t="s">
        <v>62</v>
      </c>
      <c r="K292" s="24" t="s">
        <v>104</v>
      </c>
      <c r="L292" s="25" t="s">
        <v>197</v>
      </c>
      <c r="M292" s="26">
        <v>242043</v>
      </c>
    </row>
    <row r="293" spans="3:13" ht="45" x14ac:dyDescent="0.25">
      <c r="C293" s="23">
        <v>42424</v>
      </c>
      <c r="D293" s="34">
        <v>16139</v>
      </c>
      <c r="E293" s="24" t="s">
        <v>561</v>
      </c>
      <c r="F293" s="24" t="s">
        <v>634</v>
      </c>
      <c r="G293" s="25" t="s">
        <v>59</v>
      </c>
      <c r="H293" s="25" t="s">
        <v>60</v>
      </c>
      <c r="I293" s="24" t="s">
        <v>211</v>
      </c>
      <c r="J293" s="25" t="s">
        <v>62</v>
      </c>
      <c r="K293" s="24" t="s">
        <v>104</v>
      </c>
      <c r="L293" s="25" t="s">
        <v>197</v>
      </c>
      <c r="M293" s="26">
        <v>419937</v>
      </c>
    </row>
    <row r="294" spans="3:13" ht="45" x14ac:dyDescent="0.25">
      <c r="C294" s="23">
        <v>42424</v>
      </c>
      <c r="D294" s="34">
        <v>16140</v>
      </c>
      <c r="E294" s="24" t="s">
        <v>580</v>
      </c>
      <c r="F294" s="24" t="s">
        <v>635</v>
      </c>
      <c r="G294" s="25" t="s">
        <v>59</v>
      </c>
      <c r="H294" s="25" t="s">
        <v>60</v>
      </c>
      <c r="I294" s="24" t="s">
        <v>211</v>
      </c>
      <c r="J294" s="25" t="s">
        <v>62</v>
      </c>
      <c r="K294" s="24" t="s">
        <v>104</v>
      </c>
      <c r="L294" s="25" t="s">
        <v>197</v>
      </c>
      <c r="M294" s="26">
        <v>421422</v>
      </c>
    </row>
    <row r="295" spans="3:13" ht="45" x14ac:dyDescent="0.25">
      <c r="C295" s="23">
        <v>42401</v>
      </c>
      <c r="D295" s="34">
        <v>16126</v>
      </c>
      <c r="E295" s="24" t="s">
        <v>313</v>
      </c>
      <c r="F295" s="24" t="s">
        <v>612</v>
      </c>
      <c r="G295" s="25" t="s">
        <v>86</v>
      </c>
      <c r="H295" s="25" t="s">
        <v>60</v>
      </c>
      <c r="I295" s="24" t="s">
        <v>613</v>
      </c>
      <c r="J295" s="25" t="s">
        <v>69</v>
      </c>
      <c r="K295" s="24" t="s">
        <v>104</v>
      </c>
      <c r="L295" s="25" t="s">
        <v>197</v>
      </c>
      <c r="M295" s="26">
        <v>49160</v>
      </c>
    </row>
    <row r="296" spans="3:13" ht="45" x14ac:dyDescent="0.25">
      <c r="C296" s="23">
        <v>42425</v>
      </c>
      <c r="D296" s="34">
        <v>16143</v>
      </c>
      <c r="E296" s="24" t="s">
        <v>646</v>
      </c>
      <c r="F296" s="24" t="s">
        <v>647</v>
      </c>
      <c r="G296" s="25" t="s">
        <v>86</v>
      </c>
      <c r="H296" s="25" t="s">
        <v>60</v>
      </c>
      <c r="I296" s="24" t="s">
        <v>211</v>
      </c>
      <c r="J296" s="25" t="s">
        <v>62</v>
      </c>
      <c r="K296" s="24" t="s">
        <v>104</v>
      </c>
      <c r="L296" s="25" t="s">
        <v>197</v>
      </c>
      <c r="M296" s="26">
        <f>407937*75%</f>
        <v>305952.75</v>
      </c>
    </row>
    <row r="297" spans="3:13" ht="45" x14ac:dyDescent="0.25">
      <c r="C297" s="23">
        <v>42425</v>
      </c>
      <c r="D297" s="34">
        <v>16143</v>
      </c>
      <c r="E297" s="24" t="s">
        <v>438</v>
      </c>
      <c r="F297" s="24" t="s">
        <v>647</v>
      </c>
      <c r="G297" s="25" t="s">
        <v>76</v>
      </c>
      <c r="H297" s="25" t="s">
        <v>60</v>
      </c>
      <c r="I297" s="24" t="s">
        <v>211</v>
      </c>
      <c r="J297" s="25" t="s">
        <v>62</v>
      </c>
      <c r="K297" s="24" t="s">
        <v>104</v>
      </c>
      <c r="L297" s="25" t="s">
        <v>197</v>
      </c>
      <c r="M297" s="26">
        <f>407937*25%</f>
        <v>101984.25</v>
      </c>
    </row>
    <row r="298" spans="3:13" x14ac:dyDescent="0.25">
      <c r="C298" s="23">
        <v>42460</v>
      </c>
      <c r="D298" s="34" t="s">
        <v>356</v>
      </c>
      <c r="E298" s="24" t="s">
        <v>357</v>
      </c>
      <c r="F298" s="24" t="s">
        <v>358</v>
      </c>
      <c r="G298" s="25" t="s">
        <v>59</v>
      </c>
      <c r="H298" s="25" t="s">
        <v>60</v>
      </c>
      <c r="I298" s="24" t="s">
        <v>104</v>
      </c>
      <c r="J298" s="25" t="s">
        <v>58</v>
      </c>
      <c r="K298" s="24" t="s">
        <v>104</v>
      </c>
      <c r="L298" s="25" t="s">
        <v>53</v>
      </c>
      <c r="M298" s="26">
        <v>-48</v>
      </c>
    </row>
    <row r="299" spans="3:13" ht="45" x14ac:dyDescent="0.25">
      <c r="C299" s="23">
        <v>42460</v>
      </c>
      <c r="D299" s="34">
        <v>16157</v>
      </c>
      <c r="E299" s="24" t="s">
        <v>660</v>
      </c>
      <c r="F299" s="24" t="s">
        <v>661</v>
      </c>
      <c r="G299" s="25" t="s">
        <v>59</v>
      </c>
      <c r="H299" s="25" t="s">
        <v>60</v>
      </c>
      <c r="I299" s="24" t="s">
        <v>527</v>
      </c>
      <c r="J299" s="25" t="s">
        <v>62</v>
      </c>
      <c r="K299" s="24" t="s">
        <v>662</v>
      </c>
      <c r="L299" s="25" t="s">
        <v>197</v>
      </c>
      <c r="M299" s="26">
        <v>11444</v>
      </c>
    </row>
    <row r="300" spans="3:13" x14ac:dyDescent="0.25">
      <c r="C300" s="23">
        <v>42460</v>
      </c>
      <c r="D300" s="34" t="s">
        <v>359</v>
      </c>
      <c r="E300" s="24" t="s">
        <v>165</v>
      </c>
      <c r="F300" s="24" t="s">
        <v>360</v>
      </c>
      <c r="G300" s="25" t="s">
        <v>59</v>
      </c>
      <c r="H300" s="25" t="s">
        <v>60</v>
      </c>
      <c r="I300" s="24" t="s">
        <v>104</v>
      </c>
      <c r="J300" s="25" t="s">
        <v>58</v>
      </c>
      <c r="K300" s="24" t="s">
        <v>104</v>
      </c>
      <c r="L300" s="25" t="s">
        <v>53</v>
      </c>
      <c r="M300" s="26">
        <v>10200</v>
      </c>
    </row>
    <row r="301" spans="3:13" x14ac:dyDescent="0.25">
      <c r="C301" s="23">
        <v>42460</v>
      </c>
      <c r="D301" s="34" t="s">
        <v>363</v>
      </c>
      <c r="E301" s="24" t="s">
        <v>332</v>
      </c>
      <c r="F301" s="24" t="s">
        <v>364</v>
      </c>
      <c r="G301" s="25" t="s">
        <v>59</v>
      </c>
      <c r="H301" s="25" t="s">
        <v>60</v>
      </c>
      <c r="I301" s="24" t="s">
        <v>104</v>
      </c>
      <c r="J301" s="25" t="s">
        <v>58</v>
      </c>
      <c r="K301" s="24" t="s">
        <v>104</v>
      </c>
      <c r="L301" s="25" t="s">
        <v>53</v>
      </c>
      <c r="M301" s="26">
        <v>9144</v>
      </c>
    </row>
    <row r="302" spans="3:13" ht="30" x14ac:dyDescent="0.25">
      <c r="C302" s="23">
        <v>42447</v>
      </c>
      <c r="D302" s="34">
        <v>16153</v>
      </c>
      <c r="E302" s="24" t="s">
        <v>438</v>
      </c>
      <c r="F302" s="24" t="s">
        <v>653</v>
      </c>
      <c r="G302" s="25" t="s">
        <v>76</v>
      </c>
      <c r="H302" s="25" t="s">
        <v>60</v>
      </c>
      <c r="I302" s="24" t="s">
        <v>654</v>
      </c>
      <c r="J302" s="25" t="s">
        <v>62</v>
      </c>
      <c r="K302" s="24" t="s">
        <v>104</v>
      </c>
      <c r="L302" s="25" t="s">
        <v>197</v>
      </c>
      <c r="M302" s="26">
        <v>399867</v>
      </c>
    </row>
    <row r="303" spans="3:13" ht="30" x14ac:dyDescent="0.25">
      <c r="C303" s="29">
        <v>42475</v>
      </c>
      <c r="D303" s="33">
        <v>13136</v>
      </c>
      <c r="E303" s="16" t="s">
        <v>103</v>
      </c>
      <c r="F303" s="16" t="s">
        <v>61</v>
      </c>
      <c r="G303" s="28" t="s">
        <v>59</v>
      </c>
      <c r="H303" s="28" t="s">
        <v>60</v>
      </c>
      <c r="I303" s="16" t="s">
        <v>102</v>
      </c>
      <c r="J303" s="28" t="s">
        <v>62</v>
      </c>
      <c r="K303" s="16" t="s">
        <v>104</v>
      </c>
      <c r="L303" s="28" t="s">
        <v>198</v>
      </c>
      <c r="M303" s="31">
        <v>26493</v>
      </c>
    </row>
    <row r="304" spans="3:13" ht="45" x14ac:dyDescent="0.25">
      <c r="C304" s="23">
        <v>42471</v>
      </c>
      <c r="D304" s="34">
        <v>16170</v>
      </c>
      <c r="E304" s="24" t="s">
        <v>447</v>
      </c>
      <c r="F304" s="24" t="s">
        <v>673</v>
      </c>
      <c r="G304" s="25" t="s">
        <v>59</v>
      </c>
      <c r="H304" s="25" t="s">
        <v>60</v>
      </c>
      <c r="I304" s="24" t="s">
        <v>649</v>
      </c>
      <c r="J304" s="25" t="s">
        <v>70</v>
      </c>
      <c r="K304" s="24" t="s">
        <v>104</v>
      </c>
      <c r="L304" s="25" t="s">
        <v>197</v>
      </c>
      <c r="M304" s="26">
        <v>46132</v>
      </c>
    </row>
    <row r="305" spans="1:13" ht="45" x14ac:dyDescent="0.25">
      <c r="C305" s="29">
        <v>42473</v>
      </c>
      <c r="D305" s="27">
        <v>15115</v>
      </c>
      <c r="E305" s="16" t="s">
        <v>145</v>
      </c>
      <c r="F305" s="16" t="s">
        <v>193</v>
      </c>
      <c r="G305" s="28" t="s">
        <v>132</v>
      </c>
      <c r="H305" s="28" t="s">
        <v>60</v>
      </c>
      <c r="I305" s="16" t="s">
        <v>96</v>
      </c>
      <c r="J305" s="28" t="s">
        <v>62</v>
      </c>
      <c r="K305" s="16" t="s">
        <v>89</v>
      </c>
      <c r="L305" s="28" t="s">
        <v>52</v>
      </c>
      <c r="M305" s="31">
        <f>209237/2</f>
        <v>104618.5</v>
      </c>
    </row>
    <row r="306" spans="1:13" ht="30" x14ac:dyDescent="0.25">
      <c r="C306" s="29">
        <v>42466</v>
      </c>
      <c r="D306" s="33">
        <v>16158</v>
      </c>
      <c r="E306" s="16" t="s">
        <v>179</v>
      </c>
      <c r="F306" s="16" t="s">
        <v>671</v>
      </c>
      <c r="G306" s="28" t="s">
        <v>76</v>
      </c>
      <c r="H306" s="28" t="s">
        <v>60</v>
      </c>
      <c r="I306" s="16" t="s">
        <v>672</v>
      </c>
      <c r="J306" s="28" t="s">
        <v>62</v>
      </c>
      <c r="K306" s="16" t="s">
        <v>212</v>
      </c>
      <c r="L306" s="28" t="s">
        <v>197</v>
      </c>
      <c r="M306" s="31">
        <v>137837</v>
      </c>
    </row>
    <row r="307" spans="1:13" ht="30" x14ac:dyDescent="0.25">
      <c r="C307" s="23">
        <v>42502</v>
      </c>
      <c r="D307" s="34">
        <v>16179</v>
      </c>
      <c r="E307" s="24" t="s">
        <v>493</v>
      </c>
      <c r="F307" s="24" t="s">
        <v>705</v>
      </c>
      <c r="G307" s="25" t="s">
        <v>132</v>
      </c>
      <c r="H307" s="25" t="s">
        <v>60</v>
      </c>
      <c r="I307" s="24" t="s">
        <v>706</v>
      </c>
      <c r="J307" s="25" t="s">
        <v>62</v>
      </c>
      <c r="K307" s="24" t="s">
        <v>104</v>
      </c>
      <c r="L307" s="25" t="s">
        <v>197</v>
      </c>
      <c r="M307" s="26">
        <f>774373*20%</f>
        <v>154874.6</v>
      </c>
    </row>
    <row r="308" spans="1:13" ht="60" x14ac:dyDescent="0.25">
      <c r="C308" s="23">
        <v>42506</v>
      </c>
      <c r="D308" s="34">
        <v>16180</v>
      </c>
      <c r="E308" s="24" t="s">
        <v>131</v>
      </c>
      <c r="F308" s="24" t="s">
        <v>712</v>
      </c>
      <c r="G308" s="25" t="s">
        <v>132</v>
      </c>
      <c r="H308" s="25" t="s">
        <v>60</v>
      </c>
      <c r="I308" s="24" t="s">
        <v>75</v>
      </c>
      <c r="J308" s="25" t="s">
        <v>62</v>
      </c>
      <c r="K308" s="24" t="s">
        <v>104</v>
      </c>
      <c r="L308" s="25" t="s">
        <v>197</v>
      </c>
      <c r="M308" s="26">
        <v>202660</v>
      </c>
    </row>
    <row r="309" spans="1:13" ht="30" x14ac:dyDescent="0.25">
      <c r="C309" s="23">
        <v>42516</v>
      </c>
      <c r="D309" s="34">
        <v>16185</v>
      </c>
      <c r="E309" s="24" t="s">
        <v>113</v>
      </c>
      <c r="F309" s="24" t="s">
        <v>722</v>
      </c>
      <c r="G309" s="25" t="s">
        <v>76</v>
      </c>
      <c r="H309" s="25" t="s">
        <v>60</v>
      </c>
      <c r="I309" s="24" t="s">
        <v>95</v>
      </c>
      <c r="J309" s="25" t="s">
        <v>62</v>
      </c>
      <c r="K309" s="24" t="s">
        <v>104</v>
      </c>
      <c r="L309" s="25" t="s">
        <v>197</v>
      </c>
      <c r="M309" s="26">
        <v>328600</v>
      </c>
    </row>
    <row r="310" spans="1:13" x14ac:dyDescent="0.25">
      <c r="C310" s="23">
        <v>42534</v>
      </c>
      <c r="D310" s="34">
        <v>16196</v>
      </c>
      <c r="E310" s="24" t="s">
        <v>188</v>
      </c>
      <c r="F310" s="88" t="s">
        <v>730</v>
      </c>
      <c r="G310" s="25" t="s">
        <v>86</v>
      </c>
      <c r="H310" s="25" t="s">
        <v>60</v>
      </c>
      <c r="I310" s="24" t="s">
        <v>211</v>
      </c>
      <c r="J310" s="25" t="s">
        <v>62</v>
      </c>
      <c r="K310" s="24" t="s">
        <v>212</v>
      </c>
      <c r="L310" s="25" t="s">
        <v>197</v>
      </c>
      <c r="M310" s="26">
        <v>103946</v>
      </c>
    </row>
    <row r="311" spans="1:13" ht="60" x14ac:dyDescent="0.25">
      <c r="C311" s="23">
        <v>42544</v>
      </c>
      <c r="D311" s="34">
        <v>16195</v>
      </c>
      <c r="E311" s="24" t="s">
        <v>174</v>
      </c>
      <c r="F311" s="24" t="s">
        <v>734</v>
      </c>
      <c r="G311" s="25" t="s">
        <v>76</v>
      </c>
      <c r="H311" s="25" t="s">
        <v>60</v>
      </c>
      <c r="I311" s="24" t="s">
        <v>75</v>
      </c>
      <c r="J311" s="25" t="s">
        <v>62</v>
      </c>
      <c r="K311" s="24" t="s">
        <v>104</v>
      </c>
      <c r="L311" s="25" t="s">
        <v>52</v>
      </c>
      <c r="M311" s="26">
        <v>1</v>
      </c>
    </row>
    <row r="312" spans="1:13" x14ac:dyDescent="0.25">
      <c r="C312" s="23">
        <v>42534</v>
      </c>
      <c r="D312" s="34">
        <v>16196</v>
      </c>
      <c r="E312" s="24" t="s">
        <v>179</v>
      </c>
      <c r="F312" s="24" t="s">
        <v>730</v>
      </c>
      <c r="G312" s="25" t="s">
        <v>76</v>
      </c>
      <c r="H312" s="25" t="s">
        <v>60</v>
      </c>
      <c r="I312" s="24" t="s">
        <v>211</v>
      </c>
      <c r="J312" s="25" t="s">
        <v>62</v>
      </c>
      <c r="K312" s="24" t="s">
        <v>212</v>
      </c>
      <c r="L312" s="25" t="s">
        <v>197</v>
      </c>
      <c r="M312" s="26">
        <v>103945</v>
      </c>
    </row>
    <row r="313" spans="1:13" ht="60" x14ac:dyDescent="0.25">
      <c r="C313" s="23">
        <v>42544</v>
      </c>
      <c r="D313" s="34">
        <v>16195</v>
      </c>
      <c r="E313" s="24" t="s">
        <v>169</v>
      </c>
      <c r="F313" s="24" t="s">
        <v>734</v>
      </c>
      <c r="G313" s="25" t="s">
        <v>76</v>
      </c>
      <c r="H313" s="25" t="s">
        <v>60</v>
      </c>
      <c r="I313" s="24" t="s">
        <v>75</v>
      </c>
      <c r="J313" s="25" t="s">
        <v>62</v>
      </c>
      <c r="K313" s="24" t="s">
        <v>104</v>
      </c>
      <c r="L313" s="25" t="s">
        <v>52</v>
      </c>
      <c r="M313" s="26">
        <v>1</v>
      </c>
    </row>
    <row r="314" spans="1:13" ht="60" x14ac:dyDescent="0.25">
      <c r="C314" s="23">
        <v>42544</v>
      </c>
      <c r="D314" s="34">
        <v>16195</v>
      </c>
      <c r="E314" s="24" t="s">
        <v>113</v>
      </c>
      <c r="F314" s="24" t="s">
        <v>734</v>
      </c>
      <c r="G314" s="25" t="s">
        <v>76</v>
      </c>
      <c r="H314" s="25" t="s">
        <v>60</v>
      </c>
      <c r="I314" s="24" t="s">
        <v>75</v>
      </c>
      <c r="J314" s="25" t="s">
        <v>62</v>
      </c>
      <c r="K314" s="24" t="s">
        <v>104</v>
      </c>
      <c r="L314" s="25" t="s">
        <v>52</v>
      </c>
      <c r="M314" s="26">
        <v>1</v>
      </c>
    </row>
    <row r="315" spans="1:13" ht="60" x14ac:dyDescent="0.25">
      <c r="C315" s="23">
        <v>42544</v>
      </c>
      <c r="D315" s="34">
        <v>16195</v>
      </c>
      <c r="E315" s="24" t="s">
        <v>126</v>
      </c>
      <c r="F315" s="24" t="s">
        <v>734</v>
      </c>
      <c r="G315" s="25" t="s">
        <v>76</v>
      </c>
      <c r="H315" s="25" t="s">
        <v>60</v>
      </c>
      <c r="I315" s="24" t="s">
        <v>75</v>
      </c>
      <c r="J315" s="25" t="s">
        <v>62</v>
      </c>
      <c r="K315" s="24" t="s">
        <v>104</v>
      </c>
      <c r="L315" s="25" t="s">
        <v>52</v>
      </c>
      <c r="M315" s="26">
        <v>1</v>
      </c>
    </row>
    <row r="316" spans="1:13" x14ac:dyDescent="0.25">
      <c r="C316" s="29">
        <v>42551</v>
      </c>
      <c r="D316" s="34" t="s">
        <v>359</v>
      </c>
      <c r="E316" s="24" t="s">
        <v>165</v>
      </c>
      <c r="F316" s="24" t="s">
        <v>735</v>
      </c>
      <c r="G316" s="25" t="s">
        <v>59</v>
      </c>
      <c r="H316" s="25" t="s">
        <v>60</v>
      </c>
      <c r="I316" s="16" t="s">
        <v>104</v>
      </c>
      <c r="J316" s="28" t="s">
        <v>58</v>
      </c>
      <c r="K316" s="16" t="s">
        <v>104</v>
      </c>
      <c r="L316" s="25" t="s">
        <v>53</v>
      </c>
      <c r="M316" s="26">
        <v>600</v>
      </c>
    </row>
    <row r="317" spans="1:13" x14ac:dyDescent="0.25">
      <c r="C317" s="70"/>
      <c r="D317" s="71"/>
      <c r="E317" s="56"/>
      <c r="F317" s="56"/>
      <c r="G317" s="68"/>
      <c r="H317" s="68"/>
      <c r="I317" s="56"/>
      <c r="J317" s="68"/>
      <c r="K317" s="36"/>
      <c r="L317" s="68"/>
      <c r="M317" s="86"/>
    </row>
    <row r="318" spans="1:13" ht="21" x14ac:dyDescent="0.25">
      <c r="A318" s="58"/>
      <c r="B318" s="59" t="s">
        <v>14</v>
      </c>
      <c r="C318" s="60"/>
      <c r="D318" s="61"/>
      <c r="E318" s="62"/>
      <c r="F318" s="63"/>
      <c r="G318" s="64"/>
      <c r="H318" s="64"/>
      <c r="I318" s="65" t="s">
        <v>1</v>
      </c>
      <c r="J318" s="64">
        <f>COUNT(M320:M327)</f>
        <v>7</v>
      </c>
      <c r="K318" s="81"/>
      <c r="L318" s="66" t="s">
        <v>0</v>
      </c>
      <c r="M318" s="67">
        <f>SUM(M320:M327)</f>
        <v>52355.12</v>
      </c>
    </row>
    <row r="319" spans="1:13" ht="37.5" x14ac:dyDescent="0.25">
      <c r="A319" s="80"/>
      <c r="B319" s="80"/>
      <c r="C319" s="47" t="s">
        <v>2</v>
      </c>
      <c r="D319" s="48" t="s">
        <v>3</v>
      </c>
      <c r="E319" s="49" t="s">
        <v>4</v>
      </c>
      <c r="F319" s="50" t="s">
        <v>5</v>
      </c>
      <c r="G319" s="51" t="s">
        <v>6</v>
      </c>
      <c r="H319" s="51" t="s">
        <v>7</v>
      </c>
      <c r="I319" s="50" t="s">
        <v>8</v>
      </c>
      <c r="J319" s="50" t="s">
        <v>9</v>
      </c>
      <c r="K319" s="50" t="s">
        <v>10</v>
      </c>
      <c r="L319" s="51" t="s">
        <v>11</v>
      </c>
      <c r="M319" s="52" t="s">
        <v>12</v>
      </c>
    </row>
    <row r="320" spans="1:13" x14ac:dyDescent="0.25">
      <c r="C320" s="29">
        <v>42277</v>
      </c>
      <c r="D320" s="33" t="s">
        <v>365</v>
      </c>
      <c r="E320" s="16" t="s">
        <v>171</v>
      </c>
      <c r="F320" s="16" t="s">
        <v>14</v>
      </c>
      <c r="G320" s="28" t="s">
        <v>366</v>
      </c>
      <c r="H320" s="28" t="s">
        <v>60</v>
      </c>
      <c r="I320" s="16" t="s">
        <v>104</v>
      </c>
      <c r="J320" s="28" t="s">
        <v>58</v>
      </c>
      <c r="K320" s="16" t="s">
        <v>104</v>
      </c>
      <c r="L320" s="28" t="s">
        <v>53</v>
      </c>
      <c r="M320" s="31">
        <v>20930</v>
      </c>
    </row>
    <row r="321" spans="1:13" x14ac:dyDescent="0.25">
      <c r="C321" s="23">
        <v>42348</v>
      </c>
      <c r="D321" s="34">
        <v>16109</v>
      </c>
      <c r="E321" s="24" t="s">
        <v>199</v>
      </c>
      <c r="F321" s="24" t="s">
        <v>557</v>
      </c>
      <c r="G321" s="25" t="s">
        <v>366</v>
      </c>
      <c r="H321" s="25" t="s">
        <v>60</v>
      </c>
      <c r="I321" s="24" t="s">
        <v>558</v>
      </c>
      <c r="J321" s="25" t="s">
        <v>69</v>
      </c>
      <c r="K321" s="24" t="s">
        <v>104</v>
      </c>
      <c r="L321" s="25" t="s">
        <v>52</v>
      </c>
      <c r="M321" s="26">
        <v>5700</v>
      </c>
    </row>
    <row r="322" spans="1:13" x14ac:dyDescent="0.25">
      <c r="C322" s="23">
        <v>42369</v>
      </c>
      <c r="D322" s="34" t="s">
        <v>365</v>
      </c>
      <c r="E322" s="24" t="s">
        <v>171</v>
      </c>
      <c r="F322" s="24" t="s">
        <v>14</v>
      </c>
      <c r="G322" s="25" t="s">
        <v>366</v>
      </c>
      <c r="H322" s="25" t="s">
        <v>60</v>
      </c>
      <c r="I322" s="24" t="s">
        <v>104</v>
      </c>
      <c r="J322" s="25" t="s">
        <v>58</v>
      </c>
      <c r="K322" s="24" t="s">
        <v>104</v>
      </c>
      <c r="L322" s="25" t="s">
        <v>53</v>
      </c>
      <c r="M322" s="26">
        <v>875</v>
      </c>
    </row>
    <row r="323" spans="1:13" x14ac:dyDescent="0.25">
      <c r="C323" s="23">
        <v>42460</v>
      </c>
      <c r="D323" s="34" t="s">
        <v>365</v>
      </c>
      <c r="E323" s="24" t="s">
        <v>171</v>
      </c>
      <c r="F323" s="24" t="s">
        <v>14</v>
      </c>
      <c r="G323" s="25" t="s">
        <v>366</v>
      </c>
      <c r="H323" s="25" t="s">
        <v>60</v>
      </c>
      <c r="I323" s="24" t="s">
        <v>104</v>
      </c>
      <c r="J323" s="25" t="s">
        <v>58</v>
      </c>
      <c r="K323" s="24" t="s">
        <v>104</v>
      </c>
      <c r="L323" s="25" t="s">
        <v>53</v>
      </c>
      <c r="M323" s="26">
        <v>10380.120000000001</v>
      </c>
    </row>
    <row r="324" spans="1:13" ht="30" x14ac:dyDescent="0.25">
      <c r="C324" s="23">
        <v>42496</v>
      </c>
      <c r="D324" s="34">
        <v>16166</v>
      </c>
      <c r="E324" s="24" t="s">
        <v>199</v>
      </c>
      <c r="F324" s="24" t="s">
        <v>698</v>
      </c>
      <c r="G324" s="25" t="s">
        <v>366</v>
      </c>
      <c r="H324" s="25" t="s">
        <v>60</v>
      </c>
      <c r="I324" s="24" t="s">
        <v>699</v>
      </c>
      <c r="J324" s="25" t="s">
        <v>105</v>
      </c>
      <c r="K324" s="24" t="s">
        <v>104</v>
      </c>
      <c r="L324" s="25" t="s">
        <v>52</v>
      </c>
      <c r="M324" s="26">
        <v>9000</v>
      </c>
    </row>
    <row r="325" spans="1:13" ht="30" x14ac:dyDescent="0.25">
      <c r="C325" s="23">
        <v>42496</v>
      </c>
      <c r="D325" s="34">
        <v>16166</v>
      </c>
      <c r="E325" s="24" t="s">
        <v>171</v>
      </c>
      <c r="F325" s="24" t="s">
        <v>698</v>
      </c>
      <c r="G325" s="25" t="s">
        <v>366</v>
      </c>
      <c r="H325" s="25" t="s">
        <v>60</v>
      </c>
      <c r="I325" s="24" t="s">
        <v>699</v>
      </c>
      <c r="J325" s="25" t="s">
        <v>105</v>
      </c>
      <c r="K325" s="24" t="s">
        <v>104</v>
      </c>
      <c r="L325" s="25" t="s">
        <v>52</v>
      </c>
      <c r="M325" s="26">
        <v>1000</v>
      </c>
    </row>
    <row r="326" spans="1:13" x14ac:dyDescent="0.25">
      <c r="C326" s="29">
        <v>42551</v>
      </c>
      <c r="D326" s="34" t="s">
        <v>365</v>
      </c>
      <c r="E326" s="24" t="s">
        <v>171</v>
      </c>
      <c r="F326" s="24" t="s">
        <v>735</v>
      </c>
      <c r="G326" s="25" t="s">
        <v>366</v>
      </c>
      <c r="H326" s="25" t="s">
        <v>60</v>
      </c>
      <c r="I326" s="16" t="s">
        <v>104</v>
      </c>
      <c r="J326" s="28" t="s">
        <v>58</v>
      </c>
      <c r="K326" s="16" t="s">
        <v>104</v>
      </c>
      <c r="L326" s="25" t="s">
        <v>53</v>
      </c>
      <c r="M326" s="26">
        <v>4470</v>
      </c>
    </row>
    <row r="327" spans="1:13" x14ac:dyDescent="0.25">
      <c r="C327" s="29"/>
      <c r="D327" s="27"/>
      <c r="E327" s="16"/>
      <c r="F327" s="16"/>
      <c r="G327" s="28"/>
      <c r="H327" s="28"/>
      <c r="I327" s="16"/>
      <c r="J327" s="28"/>
      <c r="K327" s="16"/>
      <c r="L327" s="28"/>
      <c r="M327" s="31"/>
    </row>
    <row r="328" spans="1:13" ht="21" x14ac:dyDescent="0.25">
      <c r="A328" s="58"/>
      <c r="B328" s="59" t="s">
        <v>49</v>
      </c>
      <c r="C328" s="60"/>
      <c r="D328" s="61"/>
      <c r="E328" s="62"/>
      <c r="F328" s="63"/>
      <c r="G328" s="64"/>
      <c r="H328" s="64"/>
      <c r="I328" s="65" t="s">
        <v>1</v>
      </c>
      <c r="J328" s="64">
        <f>COUNT(M330:M350)</f>
        <v>20</v>
      </c>
      <c r="K328" s="81"/>
      <c r="L328" s="66" t="s">
        <v>0</v>
      </c>
      <c r="M328" s="67">
        <f>SUM(M330:M350)</f>
        <v>925400.69000000006</v>
      </c>
    </row>
    <row r="329" spans="1:13" ht="37.5" x14ac:dyDescent="0.25">
      <c r="A329" s="80"/>
      <c r="B329" s="80"/>
      <c r="C329" s="47" t="s">
        <v>2</v>
      </c>
      <c r="D329" s="48" t="s">
        <v>3</v>
      </c>
      <c r="E329" s="49" t="s">
        <v>4</v>
      </c>
      <c r="F329" s="50" t="s">
        <v>5</v>
      </c>
      <c r="G329" s="51" t="s">
        <v>6</v>
      </c>
      <c r="H329" s="51" t="s">
        <v>7</v>
      </c>
      <c r="I329" s="50" t="s">
        <v>8</v>
      </c>
      <c r="J329" s="50" t="s">
        <v>9</v>
      </c>
      <c r="K329" s="50" t="s">
        <v>10</v>
      </c>
      <c r="L329" s="51" t="s">
        <v>11</v>
      </c>
      <c r="M329" s="52" t="s">
        <v>12</v>
      </c>
    </row>
    <row r="330" spans="1:13" ht="45" x14ac:dyDescent="0.25">
      <c r="C330" s="54">
        <v>42226</v>
      </c>
      <c r="D330" s="9">
        <v>16021</v>
      </c>
      <c r="E330" s="56" t="s">
        <v>118</v>
      </c>
      <c r="F330" s="56" t="s">
        <v>260</v>
      </c>
      <c r="G330" s="57" t="s">
        <v>84</v>
      </c>
      <c r="H330" s="68" t="s">
        <v>60</v>
      </c>
      <c r="I330" s="56" t="s">
        <v>97</v>
      </c>
      <c r="J330" s="68" t="s">
        <v>62</v>
      </c>
      <c r="K330" s="56" t="s">
        <v>85</v>
      </c>
      <c r="L330" s="85" t="s">
        <v>53</v>
      </c>
      <c r="M330" s="69">
        <v>1000</v>
      </c>
    </row>
    <row r="331" spans="1:13" ht="30" x14ac:dyDescent="0.25">
      <c r="C331" s="54">
        <v>42226</v>
      </c>
      <c r="D331" s="9">
        <v>16022</v>
      </c>
      <c r="E331" s="56" t="s">
        <v>118</v>
      </c>
      <c r="F331" s="56" t="s">
        <v>261</v>
      </c>
      <c r="G331" s="57" t="s">
        <v>84</v>
      </c>
      <c r="H331" s="68" t="s">
        <v>60</v>
      </c>
      <c r="I331" s="56" t="s">
        <v>97</v>
      </c>
      <c r="J331" s="68" t="s">
        <v>62</v>
      </c>
      <c r="K331" s="56" t="s">
        <v>85</v>
      </c>
      <c r="L331" s="85" t="s">
        <v>53</v>
      </c>
      <c r="M331" s="69">
        <v>18450.350000000002</v>
      </c>
    </row>
    <row r="332" spans="1:13" ht="45" x14ac:dyDescent="0.25">
      <c r="C332" s="54">
        <v>42226</v>
      </c>
      <c r="D332" s="9">
        <v>16021</v>
      </c>
      <c r="E332" s="56" t="s">
        <v>117</v>
      </c>
      <c r="F332" s="56" t="s">
        <v>260</v>
      </c>
      <c r="G332" s="57" t="s">
        <v>84</v>
      </c>
      <c r="H332" s="68" t="s">
        <v>60</v>
      </c>
      <c r="I332" s="56" t="s">
        <v>97</v>
      </c>
      <c r="J332" s="68" t="s">
        <v>62</v>
      </c>
      <c r="K332" s="56" t="s">
        <v>85</v>
      </c>
      <c r="L332" s="85" t="s">
        <v>53</v>
      </c>
      <c r="M332" s="69">
        <v>19000</v>
      </c>
    </row>
    <row r="333" spans="1:13" ht="30" x14ac:dyDescent="0.25">
      <c r="C333" s="54">
        <v>42226</v>
      </c>
      <c r="D333" s="9">
        <v>16022</v>
      </c>
      <c r="E333" s="56" t="s">
        <v>117</v>
      </c>
      <c r="F333" s="56" t="s">
        <v>261</v>
      </c>
      <c r="G333" s="57" t="s">
        <v>84</v>
      </c>
      <c r="H333" s="68" t="s">
        <v>60</v>
      </c>
      <c r="I333" s="56" t="s">
        <v>97</v>
      </c>
      <c r="J333" s="68" t="s">
        <v>62</v>
      </c>
      <c r="K333" s="56" t="s">
        <v>85</v>
      </c>
      <c r="L333" s="85" t="s">
        <v>53</v>
      </c>
      <c r="M333" s="69">
        <v>350556.64999999997</v>
      </c>
    </row>
    <row r="334" spans="1:13" ht="30" x14ac:dyDescent="0.25">
      <c r="C334" s="29">
        <v>42272</v>
      </c>
      <c r="D334" s="33">
        <v>16055</v>
      </c>
      <c r="E334" s="16" t="s">
        <v>118</v>
      </c>
      <c r="F334" s="16" t="s">
        <v>327</v>
      </c>
      <c r="G334" s="28" t="s">
        <v>84</v>
      </c>
      <c r="H334" s="28" t="s">
        <v>60</v>
      </c>
      <c r="I334" s="16" t="s">
        <v>328</v>
      </c>
      <c r="J334" s="28" t="s">
        <v>70</v>
      </c>
      <c r="K334" s="16" t="s">
        <v>104</v>
      </c>
      <c r="L334" s="28" t="s">
        <v>53</v>
      </c>
      <c r="M334" s="31">
        <v>4451</v>
      </c>
    </row>
    <row r="335" spans="1:13" ht="30" x14ac:dyDescent="0.25">
      <c r="C335" s="29">
        <v>42277</v>
      </c>
      <c r="D335" s="33" t="s">
        <v>367</v>
      </c>
      <c r="E335" s="16" t="s">
        <v>118</v>
      </c>
      <c r="F335" s="16" t="s">
        <v>23</v>
      </c>
      <c r="G335" s="28" t="s">
        <v>84</v>
      </c>
      <c r="H335" s="28" t="s">
        <v>60</v>
      </c>
      <c r="I335" s="16" t="s">
        <v>104</v>
      </c>
      <c r="J335" s="28" t="s">
        <v>58</v>
      </c>
      <c r="K335" s="16" t="s">
        <v>104</v>
      </c>
      <c r="L335" s="28" t="s">
        <v>53</v>
      </c>
      <c r="M335" s="31">
        <v>2638.49</v>
      </c>
    </row>
    <row r="336" spans="1:13" ht="30" x14ac:dyDescent="0.25">
      <c r="C336" s="23">
        <v>42339</v>
      </c>
      <c r="D336" s="34">
        <v>16103</v>
      </c>
      <c r="E336" s="24" t="s">
        <v>118</v>
      </c>
      <c r="F336" s="24" t="s">
        <v>544</v>
      </c>
      <c r="G336" s="25" t="s">
        <v>84</v>
      </c>
      <c r="H336" s="25" t="s">
        <v>60</v>
      </c>
      <c r="I336" s="24" t="s">
        <v>75</v>
      </c>
      <c r="J336" s="25" t="s">
        <v>62</v>
      </c>
      <c r="K336" s="24" t="s">
        <v>104</v>
      </c>
      <c r="L336" s="25" t="s">
        <v>197</v>
      </c>
      <c r="M336" s="26">
        <f>296212*20%</f>
        <v>59242.400000000001</v>
      </c>
    </row>
    <row r="337" spans="1:13" ht="30" x14ac:dyDescent="0.25">
      <c r="C337" s="23">
        <v>42369</v>
      </c>
      <c r="D337" s="34" t="s">
        <v>367</v>
      </c>
      <c r="E337" s="24" t="s">
        <v>118</v>
      </c>
      <c r="F337" s="24" t="s">
        <v>23</v>
      </c>
      <c r="G337" s="25" t="s">
        <v>84</v>
      </c>
      <c r="H337" s="25" t="s">
        <v>60</v>
      </c>
      <c r="I337" s="24" t="s">
        <v>104</v>
      </c>
      <c r="J337" s="25" t="s">
        <v>58</v>
      </c>
      <c r="K337" s="24" t="s">
        <v>104</v>
      </c>
      <c r="L337" s="25" t="s">
        <v>53</v>
      </c>
      <c r="M337" s="26">
        <v>8436.5400000000009</v>
      </c>
    </row>
    <row r="338" spans="1:13" ht="30" x14ac:dyDescent="0.25">
      <c r="C338" s="23">
        <v>42381</v>
      </c>
      <c r="D338" s="34">
        <v>16116</v>
      </c>
      <c r="E338" s="24" t="s">
        <v>191</v>
      </c>
      <c r="F338" s="24" t="s">
        <v>590</v>
      </c>
      <c r="G338" s="25" t="s">
        <v>84</v>
      </c>
      <c r="H338" s="25" t="s">
        <v>60</v>
      </c>
      <c r="I338" s="24" t="s">
        <v>476</v>
      </c>
      <c r="J338" s="25" t="s">
        <v>62</v>
      </c>
      <c r="K338" s="24" t="s">
        <v>477</v>
      </c>
      <c r="L338" s="25" t="s">
        <v>53</v>
      </c>
      <c r="M338" s="26">
        <f>19500/2</f>
        <v>9750</v>
      </c>
    </row>
    <row r="339" spans="1:13" ht="30" x14ac:dyDescent="0.25">
      <c r="C339" s="23">
        <v>42381</v>
      </c>
      <c r="D339" s="34">
        <v>16116</v>
      </c>
      <c r="E339" s="24" t="s">
        <v>118</v>
      </c>
      <c r="F339" s="24" t="s">
        <v>590</v>
      </c>
      <c r="G339" s="25" t="s">
        <v>84</v>
      </c>
      <c r="H339" s="25" t="s">
        <v>60</v>
      </c>
      <c r="I339" s="24" t="s">
        <v>476</v>
      </c>
      <c r="J339" s="25" t="s">
        <v>62</v>
      </c>
      <c r="K339" s="24" t="s">
        <v>477</v>
      </c>
      <c r="L339" s="25" t="s">
        <v>53</v>
      </c>
      <c r="M339" s="26">
        <f>19500/2</f>
        <v>9750</v>
      </c>
    </row>
    <row r="340" spans="1:13" x14ac:dyDescent="0.25">
      <c r="C340" s="23">
        <v>42416</v>
      </c>
      <c r="D340" s="34">
        <v>16133</v>
      </c>
      <c r="E340" s="24" t="s">
        <v>117</v>
      </c>
      <c r="F340" s="24" t="s">
        <v>620</v>
      </c>
      <c r="G340" s="25" t="s">
        <v>84</v>
      </c>
      <c r="H340" s="25" t="s">
        <v>60</v>
      </c>
      <c r="I340" s="24" t="s">
        <v>621</v>
      </c>
      <c r="J340" s="25" t="s">
        <v>57</v>
      </c>
      <c r="K340" s="24" t="s">
        <v>104</v>
      </c>
      <c r="L340" s="25" t="s">
        <v>53</v>
      </c>
      <c r="M340" s="26">
        <f>3400*98%</f>
        <v>3332</v>
      </c>
    </row>
    <row r="341" spans="1:13" x14ac:dyDescent="0.25">
      <c r="C341" s="23">
        <v>42416</v>
      </c>
      <c r="D341" s="34">
        <v>16133</v>
      </c>
      <c r="E341" s="24" t="s">
        <v>118</v>
      </c>
      <c r="F341" s="24" t="s">
        <v>620</v>
      </c>
      <c r="G341" s="25" t="s">
        <v>84</v>
      </c>
      <c r="H341" s="25" t="s">
        <v>60</v>
      </c>
      <c r="I341" s="24" t="s">
        <v>621</v>
      </c>
      <c r="J341" s="25" t="s">
        <v>57</v>
      </c>
      <c r="K341" s="24" t="s">
        <v>104</v>
      </c>
      <c r="L341" s="25" t="s">
        <v>53</v>
      </c>
      <c r="M341" s="26">
        <f>3400*2%</f>
        <v>68</v>
      </c>
    </row>
    <row r="342" spans="1:13" ht="30" x14ac:dyDescent="0.25">
      <c r="C342" s="23">
        <v>42443</v>
      </c>
      <c r="D342" s="34">
        <v>16149</v>
      </c>
      <c r="E342" s="24" t="s">
        <v>118</v>
      </c>
      <c r="F342" s="24" t="s">
        <v>651</v>
      </c>
      <c r="G342" s="25" t="s">
        <v>84</v>
      </c>
      <c r="H342" s="25" t="s">
        <v>60</v>
      </c>
      <c r="I342" s="24" t="s">
        <v>652</v>
      </c>
      <c r="J342" s="25" t="s">
        <v>69</v>
      </c>
      <c r="K342" s="24" t="s">
        <v>104</v>
      </c>
      <c r="L342" s="25" t="s">
        <v>53</v>
      </c>
      <c r="M342" s="26">
        <v>90</v>
      </c>
    </row>
    <row r="343" spans="1:13" ht="30" x14ac:dyDescent="0.25">
      <c r="C343" s="23">
        <v>42460</v>
      </c>
      <c r="D343" s="34">
        <v>16155</v>
      </c>
      <c r="E343" s="24" t="s">
        <v>118</v>
      </c>
      <c r="F343" s="24" t="s">
        <v>658</v>
      </c>
      <c r="G343" s="25" t="s">
        <v>84</v>
      </c>
      <c r="H343" s="25" t="s">
        <v>60</v>
      </c>
      <c r="I343" s="24" t="s">
        <v>97</v>
      </c>
      <c r="J343" s="25" t="s">
        <v>62</v>
      </c>
      <c r="K343" s="24" t="s">
        <v>85</v>
      </c>
      <c r="L343" s="25" t="s">
        <v>53</v>
      </c>
      <c r="M343" s="26">
        <v>18450</v>
      </c>
    </row>
    <row r="344" spans="1:13" ht="45" x14ac:dyDescent="0.25">
      <c r="C344" s="23">
        <v>42460</v>
      </c>
      <c r="D344" s="34">
        <v>16156</v>
      </c>
      <c r="E344" s="24" t="s">
        <v>118</v>
      </c>
      <c r="F344" s="24" t="s">
        <v>659</v>
      </c>
      <c r="G344" s="25" t="s">
        <v>84</v>
      </c>
      <c r="H344" s="25" t="s">
        <v>60</v>
      </c>
      <c r="I344" s="24" t="s">
        <v>97</v>
      </c>
      <c r="J344" s="25" t="s">
        <v>62</v>
      </c>
      <c r="K344" s="24" t="s">
        <v>85</v>
      </c>
      <c r="L344" s="25" t="s">
        <v>53</v>
      </c>
      <c r="M344" s="26">
        <v>1000</v>
      </c>
    </row>
    <row r="345" spans="1:13" ht="30" x14ac:dyDescent="0.25">
      <c r="C345" s="23">
        <v>42460</v>
      </c>
      <c r="D345" s="34" t="s">
        <v>367</v>
      </c>
      <c r="E345" s="24" t="s">
        <v>118</v>
      </c>
      <c r="F345" s="24" t="s">
        <v>23</v>
      </c>
      <c r="G345" s="25" t="s">
        <v>84</v>
      </c>
      <c r="H345" s="25" t="s">
        <v>60</v>
      </c>
      <c r="I345" s="24" t="s">
        <v>104</v>
      </c>
      <c r="J345" s="25" t="s">
        <v>58</v>
      </c>
      <c r="K345" s="24" t="s">
        <v>104</v>
      </c>
      <c r="L345" s="25" t="s">
        <v>53</v>
      </c>
      <c r="M345" s="26">
        <v>26794.98</v>
      </c>
    </row>
    <row r="346" spans="1:13" ht="30" x14ac:dyDescent="0.25">
      <c r="C346" s="23">
        <v>42443</v>
      </c>
      <c r="D346" s="34">
        <v>16149</v>
      </c>
      <c r="E346" s="24" t="s">
        <v>226</v>
      </c>
      <c r="F346" s="24" t="s">
        <v>651</v>
      </c>
      <c r="G346" s="25" t="s">
        <v>84</v>
      </c>
      <c r="H346" s="25" t="s">
        <v>60</v>
      </c>
      <c r="I346" s="24" t="s">
        <v>652</v>
      </c>
      <c r="J346" s="25" t="s">
        <v>69</v>
      </c>
      <c r="K346" s="24" t="s">
        <v>104</v>
      </c>
      <c r="L346" s="25" t="s">
        <v>53</v>
      </c>
      <c r="M346" s="26">
        <v>4410</v>
      </c>
    </row>
    <row r="347" spans="1:13" ht="30" x14ac:dyDescent="0.25">
      <c r="C347" s="23">
        <v>42460</v>
      </c>
      <c r="D347" s="34">
        <v>16155</v>
      </c>
      <c r="E347" s="24" t="s">
        <v>117</v>
      </c>
      <c r="F347" s="24" t="s">
        <v>658</v>
      </c>
      <c r="G347" s="25" t="s">
        <v>84</v>
      </c>
      <c r="H347" s="25" t="s">
        <v>60</v>
      </c>
      <c r="I347" s="24" t="s">
        <v>97</v>
      </c>
      <c r="J347" s="25" t="s">
        <v>62</v>
      </c>
      <c r="K347" s="24" t="s">
        <v>85</v>
      </c>
      <c r="L347" s="25" t="s">
        <v>53</v>
      </c>
      <c r="M347" s="26">
        <v>350557</v>
      </c>
    </row>
    <row r="348" spans="1:13" ht="45" x14ac:dyDescent="0.25">
      <c r="C348" s="23">
        <v>42460</v>
      </c>
      <c r="D348" s="34">
        <v>16156</v>
      </c>
      <c r="E348" s="24" t="s">
        <v>117</v>
      </c>
      <c r="F348" s="24" t="s">
        <v>659</v>
      </c>
      <c r="G348" s="25" t="s">
        <v>84</v>
      </c>
      <c r="H348" s="25" t="s">
        <v>60</v>
      </c>
      <c r="I348" s="24" t="s">
        <v>97</v>
      </c>
      <c r="J348" s="25" t="s">
        <v>62</v>
      </c>
      <c r="K348" s="24" t="s">
        <v>85</v>
      </c>
      <c r="L348" s="25" t="s">
        <v>53</v>
      </c>
      <c r="M348" s="26">
        <v>19000</v>
      </c>
    </row>
    <row r="349" spans="1:13" x14ac:dyDescent="0.25">
      <c r="C349" s="29">
        <v>42551</v>
      </c>
      <c r="D349" s="34" t="s">
        <v>367</v>
      </c>
      <c r="E349" s="24" t="s">
        <v>118</v>
      </c>
      <c r="F349" s="24" t="s">
        <v>735</v>
      </c>
      <c r="G349" s="25" t="s">
        <v>84</v>
      </c>
      <c r="H349" s="25" t="s">
        <v>60</v>
      </c>
      <c r="I349" s="16" t="s">
        <v>104</v>
      </c>
      <c r="J349" s="28" t="s">
        <v>58</v>
      </c>
      <c r="K349" s="16" t="s">
        <v>104</v>
      </c>
      <c r="L349" s="25" t="s">
        <v>53</v>
      </c>
      <c r="M349" s="26">
        <v>18423.28</v>
      </c>
    </row>
    <row r="350" spans="1:13" x14ac:dyDescent="0.25">
      <c r="C350" s="70"/>
      <c r="D350" s="71"/>
      <c r="E350" s="56"/>
      <c r="F350" s="56"/>
      <c r="G350" s="68"/>
      <c r="H350" s="68"/>
      <c r="I350" s="56"/>
      <c r="J350" s="68"/>
      <c r="K350" s="36"/>
      <c r="L350" s="68"/>
      <c r="M350" s="86"/>
    </row>
    <row r="351" spans="1:13" ht="21" x14ac:dyDescent="0.25">
      <c r="A351" s="58"/>
      <c r="B351" s="59" t="s">
        <v>33</v>
      </c>
      <c r="C351" s="60"/>
      <c r="D351" s="61"/>
      <c r="E351" s="62"/>
      <c r="F351" s="63"/>
      <c r="G351" s="64"/>
      <c r="H351" s="64"/>
      <c r="I351" s="65" t="s">
        <v>1</v>
      </c>
      <c r="J351" s="64">
        <f>COUNT(M353:M371)</f>
        <v>18</v>
      </c>
      <c r="K351" s="81"/>
      <c r="L351" s="66" t="s">
        <v>0</v>
      </c>
      <c r="M351" s="67">
        <f>SUM(M353:M371)</f>
        <v>843382</v>
      </c>
    </row>
    <row r="352" spans="1:13" ht="37.5" x14ac:dyDescent="0.25">
      <c r="A352" s="80"/>
      <c r="B352" s="80"/>
      <c r="C352" s="47" t="s">
        <v>2</v>
      </c>
      <c r="D352" s="48" t="s">
        <v>3</v>
      </c>
      <c r="E352" s="49" t="s">
        <v>4</v>
      </c>
      <c r="F352" s="50" t="s">
        <v>5</v>
      </c>
      <c r="G352" s="51" t="s">
        <v>6</v>
      </c>
      <c r="H352" s="51" t="s">
        <v>7</v>
      </c>
      <c r="I352" s="50" t="s">
        <v>8</v>
      </c>
      <c r="J352" s="50" t="s">
        <v>9</v>
      </c>
      <c r="K352" s="50" t="s">
        <v>10</v>
      </c>
      <c r="L352" s="51" t="s">
        <v>11</v>
      </c>
      <c r="M352" s="52" t="s">
        <v>12</v>
      </c>
    </row>
    <row r="353" spans="3:13" ht="30" x14ac:dyDescent="0.25">
      <c r="C353" s="54">
        <v>42186</v>
      </c>
      <c r="D353" s="9">
        <v>16011</v>
      </c>
      <c r="E353" s="56" t="s">
        <v>180</v>
      </c>
      <c r="F353" s="56" t="s">
        <v>230</v>
      </c>
      <c r="G353" s="57" t="s">
        <v>155</v>
      </c>
      <c r="H353" s="68" t="s">
        <v>60</v>
      </c>
      <c r="I353" s="56" t="s">
        <v>175</v>
      </c>
      <c r="J353" s="68" t="s">
        <v>105</v>
      </c>
      <c r="K353" s="56" t="s">
        <v>104</v>
      </c>
      <c r="L353" s="85" t="s">
        <v>53</v>
      </c>
      <c r="M353" s="69">
        <v>2900.4</v>
      </c>
    </row>
    <row r="354" spans="3:13" ht="30" x14ac:dyDescent="0.25">
      <c r="C354" s="54">
        <v>42212</v>
      </c>
      <c r="D354" s="9">
        <v>16010</v>
      </c>
      <c r="E354" s="56" t="s">
        <v>154</v>
      </c>
      <c r="F354" s="56" t="s">
        <v>250</v>
      </c>
      <c r="G354" s="57" t="s">
        <v>155</v>
      </c>
      <c r="H354" s="68" t="s">
        <v>60</v>
      </c>
      <c r="I354" s="56" t="s">
        <v>183</v>
      </c>
      <c r="J354" s="68" t="s">
        <v>62</v>
      </c>
      <c r="K354" s="56" t="s">
        <v>104</v>
      </c>
      <c r="L354" s="85" t="s">
        <v>198</v>
      </c>
      <c r="M354" s="69">
        <v>49000</v>
      </c>
    </row>
    <row r="355" spans="3:13" ht="30" x14ac:dyDescent="0.25">
      <c r="C355" s="54">
        <v>42186</v>
      </c>
      <c r="D355" s="9">
        <v>16011</v>
      </c>
      <c r="E355" s="56" t="s">
        <v>154</v>
      </c>
      <c r="F355" s="56" t="s">
        <v>230</v>
      </c>
      <c r="G355" s="57" t="s">
        <v>155</v>
      </c>
      <c r="H355" s="68" t="s">
        <v>60</v>
      </c>
      <c r="I355" s="56" t="s">
        <v>175</v>
      </c>
      <c r="J355" s="68" t="s">
        <v>105</v>
      </c>
      <c r="K355" s="56" t="s">
        <v>104</v>
      </c>
      <c r="L355" s="85" t="s">
        <v>53</v>
      </c>
      <c r="M355" s="69">
        <v>11601.6</v>
      </c>
    </row>
    <row r="356" spans="3:13" x14ac:dyDescent="0.25">
      <c r="C356" s="54">
        <v>42222</v>
      </c>
      <c r="D356" s="9">
        <v>16026</v>
      </c>
      <c r="E356" s="56" t="s">
        <v>180</v>
      </c>
      <c r="F356" s="56" t="s">
        <v>259</v>
      </c>
      <c r="G356" s="57" t="s">
        <v>155</v>
      </c>
      <c r="H356" s="68" t="s">
        <v>60</v>
      </c>
      <c r="I356" s="56" t="s">
        <v>175</v>
      </c>
      <c r="J356" s="68" t="s">
        <v>105</v>
      </c>
      <c r="K356" s="56" t="s">
        <v>104</v>
      </c>
      <c r="L356" s="85" t="s">
        <v>53</v>
      </c>
      <c r="M356" s="69">
        <v>5528.6</v>
      </c>
    </row>
    <row r="357" spans="3:13" x14ac:dyDescent="0.25">
      <c r="C357" s="54">
        <v>42222</v>
      </c>
      <c r="D357" s="9">
        <v>16026</v>
      </c>
      <c r="E357" s="56" t="s">
        <v>154</v>
      </c>
      <c r="F357" s="56" t="s">
        <v>259</v>
      </c>
      <c r="G357" s="57" t="s">
        <v>155</v>
      </c>
      <c r="H357" s="68" t="s">
        <v>60</v>
      </c>
      <c r="I357" s="56" t="s">
        <v>175</v>
      </c>
      <c r="J357" s="68" t="s">
        <v>105</v>
      </c>
      <c r="K357" s="56" t="s">
        <v>104</v>
      </c>
      <c r="L357" s="85" t="s">
        <v>53</v>
      </c>
      <c r="M357" s="69">
        <v>22114.400000000001</v>
      </c>
    </row>
    <row r="358" spans="3:13" ht="30" x14ac:dyDescent="0.25">
      <c r="C358" s="29">
        <v>42262</v>
      </c>
      <c r="D358" s="33">
        <v>16048</v>
      </c>
      <c r="E358" s="16" t="s">
        <v>180</v>
      </c>
      <c r="F358" s="16" t="s">
        <v>320</v>
      </c>
      <c r="G358" s="28" t="s">
        <v>155</v>
      </c>
      <c r="H358" s="28" t="s">
        <v>60</v>
      </c>
      <c r="I358" s="16" t="s">
        <v>183</v>
      </c>
      <c r="J358" s="28" t="s">
        <v>62</v>
      </c>
      <c r="K358" s="16" t="s">
        <v>321</v>
      </c>
      <c r="L358" s="28" t="s">
        <v>53</v>
      </c>
      <c r="M358" s="31">
        <f>27050*20%</f>
        <v>5410</v>
      </c>
    </row>
    <row r="359" spans="3:13" ht="30" x14ac:dyDescent="0.25">
      <c r="C359" s="29">
        <v>42257</v>
      </c>
      <c r="D359" s="33">
        <v>16032</v>
      </c>
      <c r="E359" s="16" t="s">
        <v>154</v>
      </c>
      <c r="F359" s="16" t="s">
        <v>314</v>
      </c>
      <c r="G359" s="28" t="s">
        <v>155</v>
      </c>
      <c r="H359" s="28" t="s">
        <v>60</v>
      </c>
      <c r="I359" s="16" t="s">
        <v>190</v>
      </c>
      <c r="J359" s="28" t="s">
        <v>62</v>
      </c>
      <c r="K359" s="16" t="s">
        <v>104</v>
      </c>
      <c r="L359" s="28" t="s">
        <v>53</v>
      </c>
      <c r="M359" s="31">
        <v>205000</v>
      </c>
    </row>
    <row r="360" spans="3:13" ht="30" x14ac:dyDescent="0.25">
      <c r="C360" s="29">
        <v>42257</v>
      </c>
      <c r="D360" s="33">
        <v>16033</v>
      </c>
      <c r="E360" s="16" t="s">
        <v>154</v>
      </c>
      <c r="F360" s="16" t="s">
        <v>315</v>
      </c>
      <c r="G360" s="28" t="s">
        <v>155</v>
      </c>
      <c r="H360" s="28" t="s">
        <v>60</v>
      </c>
      <c r="I360" s="16" t="s">
        <v>190</v>
      </c>
      <c r="J360" s="28" t="s">
        <v>62</v>
      </c>
      <c r="K360" s="16" t="s">
        <v>104</v>
      </c>
      <c r="L360" s="28" t="s">
        <v>53</v>
      </c>
      <c r="M360" s="31">
        <v>70317</v>
      </c>
    </row>
    <row r="361" spans="3:13" ht="30" x14ac:dyDescent="0.25">
      <c r="C361" s="29">
        <v>42257</v>
      </c>
      <c r="D361" s="33">
        <v>16034</v>
      </c>
      <c r="E361" s="16" t="s">
        <v>154</v>
      </c>
      <c r="F361" s="16" t="s">
        <v>316</v>
      </c>
      <c r="G361" s="28" t="s">
        <v>155</v>
      </c>
      <c r="H361" s="28" t="s">
        <v>60</v>
      </c>
      <c r="I361" s="16" t="s">
        <v>190</v>
      </c>
      <c r="J361" s="28" t="s">
        <v>62</v>
      </c>
      <c r="K361" s="16" t="s">
        <v>104</v>
      </c>
      <c r="L361" s="28" t="s">
        <v>53</v>
      </c>
      <c r="M361" s="31">
        <v>16500</v>
      </c>
    </row>
    <row r="362" spans="3:13" ht="30" x14ac:dyDescent="0.25">
      <c r="C362" s="29">
        <v>42262</v>
      </c>
      <c r="D362" s="33">
        <v>16048</v>
      </c>
      <c r="E362" s="16" t="s">
        <v>154</v>
      </c>
      <c r="F362" s="16" t="s">
        <v>320</v>
      </c>
      <c r="G362" s="28" t="s">
        <v>155</v>
      </c>
      <c r="H362" s="28" t="s">
        <v>60</v>
      </c>
      <c r="I362" s="16" t="s">
        <v>183</v>
      </c>
      <c r="J362" s="28" t="s">
        <v>62</v>
      </c>
      <c r="K362" s="16" t="s">
        <v>321</v>
      </c>
      <c r="L362" s="28" t="s">
        <v>53</v>
      </c>
      <c r="M362" s="31">
        <f>27050*80%</f>
        <v>21640</v>
      </c>
    </row>
    <row r="363" spans="3:13" x14ac:dyDescent="0.25">
      <c r="C363" s="29">
        <v>42277</v>
      </c>
      <c r="D363" s="33" t="s">
        <v>368</v>
      </c>
      <c r="E363" s="16" t="s">
        <v>154</v>
      </c>
      <c r="F363" s="16" t="s">
        <v>369</v>
      </c>
      <c r="G363" s="28" t="s">
        <v>155</v>
      </c>
      <c r="H363" s="28" t="s">
        <v>60</v>
      </c>
      <c r="I363" s="16" t="s">
        <v>104</v>
      </c>
      <c r="J363" s="28" t="s">
        <v>58</v>
      </c>
      <c r="K363" s="16" t="s">
        <v>104</v>
      </c>
      <c r="L363" s="28" t="s">
        <v>53</v>
      </c>
      <c r="M363" s="31">
        <v>2000</v>
      </c>
    </row>
    <row r="364" spans="3:13" x14ac:dyDescent="0.25">
      <c r="C364" s="29">
        <v>42444</v>
      </c>
      <c r="D364" s="33">
        <v>16026</v>
      </c>
      <c r="E364" s="16" t="s">
        <v>180</v>
      </c>
      <c r="F364" s="16" t="s">
        <v>259</v>
      </c>
      <c r="G364" s="28" t="s">
        <v>155</v>
      </c>
      <c r="H364" s="28" t="s">
        <v>60</v>
      </c>
      <c r="I364" s="16" t="s">
        <v>175</v>
      </c>
      <c r="J364" s="28" t="s">
        <v>105</v>
      </c>
      <c r="K364" s="16" t="s">
        <v>104</v>
      </c>
      <c r="L364" s="28" t="s">
        <v>53</v>
      </c>
      <c r="M364" s="31">
        <f>2940*20%</f>
        <v>588</v>
      </c>
    </row>
    <row r="365" spans="3:13" x14ac:dyDescent="0.25">
      <c r="C365" s="29">
        <v>42444</v>
      </c>
      <c r="D365" s="33">
        <v>16026</v>
      </c>
      <c r="E365" s="16" t="s">
        <v>154</v>
      </c>
      <c r="F365" s="16" t="s">
        <v>259</v>
      </c>
      <c r="G365" s="28" t="s">
        <v>155</v>
      </c>
      <c r="H365" s="28" t="s">
        <v>60</v>
      </c>
      <c r="I365" s="16" t="s">
        <v>175</v>
      </c>
      <c r="J365" s="28" t="s">
        <v>105</v>
      </c>
      <c r="K365" s="16" t="s">
        <v>104</v>
      </c>
      <c r="L365" s="28" t="s">
        <v>53</v>
      </c>
      <c r="M365" s="31">
        <f>2940*80%</f>
        <v>2352</v>
      </c>
    </row>
    <row r="366" spans="3:13" ht="30" x14ac:dyDescent="0.25">
      <c r="C366" s="29">
        <v>42491</v>
      </c>
      <c r="D366" s="33">
        <v>16032</v>
      </c>
      <c r="E366" s="16" t="s">
        <v>154</v>
      </c>
      <c r="F366" s="16" t="s">
        <v>314</v>
      </c>
      <c r="G366" s="28" t="s">
        <v>155</v>
      </c>
      <c r="H366" s="28" t="s">
        <v>60</v>
      </c>
      <c r="I366" s="16" t="s">
        <v>190</v>
      </c>
      <c r="J366" s="28" t="s">
        <v>62</v>
      </c>
      <c r="K366" s="16" t="s">
        <v>104</v>
      </c>
      <c r="L366" s="28" t="s">
        <v>53</v>
      </c>
      <c r="M366" s="31">
        <v>225000</v>
      </c>
    </row>
    <row r="367" spans="3:13" ht="30" x14ac:dyDescent="0.25">
      <c r="C367" s="29">
        <v>42491</v>
      </c>
      <c r="D367" s="33">
        <v>16033</v>
      </c>
      <c r="E367" s="16" t="s">
        <v>154</v>
      </c>
      <c r="F367" s="16" t="s">
        <v>315</v>
      </c>
      <c r="G367" s="28" t="s">
        <v>155</v>
      </c>
      <c r="H367" s="28" t="s">
        <v>60</v>
      </c>
      <c r="I367" s="16" t="s">
        <v>190</v>
      </c>
      <c r="J367" s="28" t="s">
        <v>62</v>
      </c>
      <c r="K367" s="16" t="s">
        <v>104</v>
      </c>
      <c r="L367" s="28" t="s">
        <v>53</v>
      </c>
      <c r="M367" s="31">
        <v>65988</v>
      </c>
    </row>
    <row r="368" spans="3:13" ht="30" x14ac:dyDescent="0.25">
      <c r="C368" s="23">
        <v>42503</v>
      </c>
      <c r="D368" s="34">
        <v>16181</v>
      </c>
      <c r="E368" s="24" t="s">
        <v>154</v>
      </c>
      <c r="F368" s="24" t="s">
        <v>708</v>
      </c>
      <c r="G368" s="25" t="s">
        <v>155</v>
      </c>
      <c r="H368" s="25" t="s">
        <v>60</v>
      </c>
      <c r="I368" s="24" t="s">
        <v>190</v>
      </c>
      <c r="J368" s="25" t="s">
        <v>62</v>
      </c>
      <c r="K368" s="24" t="s">
        <v>104</v>
      </c>
      <c r="L368" s="25" t="s">
        <v>53</v>
      </c>
      <c r="M368" s="26">
        <v>60442</v>
      </c>
    </row>
    <row r="369" spans="1:13" x14ac:dyDescent="0.25">
      <c r="C369" s="23">
        <v>42521</v>
      </c>
      <c r="D369" s="34">
        <v>16192</v>
      </c>
      <c r="E369" s="24" t="s">
        <v>154</v>
      </c>
      <c r="F369" s="24" t="s">
        <v>725</v>
      </c>
      <c r="G369" s="25" t="s">
        <v>155</v>
      </c>
      <c r="H369" s="25" t="s">
        <v>60</v>
      </c>
      <c r="I369" s="24" t="s">
        <v>134</v>
      </c>
      <c r="J369" s="25" t="s">
        <v>62</v>
      </c>
      <c r="K369" s="24" t="s">
        <v>219</v>
      </c>
      <c r="L369" s="25" t="s">
        <v>197</v>
      </c>
      <c r="M369" s="26">
        <v>27000</v>
      </c>
    </row>
    <row r="370" spans="1:13" ht="30" x14ac:dyDescent="0.25">
      <c r="C370" s="29">
        <v>42529</v>
      </c>
      <c r="D370" s="33">
        <v>15220</v>
      </c>
      <c r="E370" s="16" t="s">
        <v>154</v>
      </c>
      <c r="F370" s="16" t="s">
        <v>229</v>
      </c>
      <c r="G370" s="28" t="s">
        <v>155</v>
      </c>
      <c r="H370" s="28" t="s">
        <v>60</v>
      </c>
      <c r="I370" s="16" t="s">
        <v>134</v>
      </c>
      <c r="J370" s="28" t="s">
        <v>62</v>
      </c>
      <c r="K370" s="16" t="s">
        <v>219</v>
      </c>
      <c r="L370" s="28" t="s">
        <v>198</v>
      </c>
      <c r="M370" s="31">
        <v>50000</v>
      </c>
    </row>
    <row r="371" spans="1:13" x14ac:dyDescent="0.25">
      <c r="C371" s="29"/>
      <c r="D371" s="27"/>
      <c r="E371" s="16"/>
      <c r="F371" s="16"/>
      <c r="G371" s="28"/>
      <c r="H371" s="28"/>
      <c r="I371" s="16"/>
      <c r="J371" s="28"/>
      <c r="K371" s="16"/>
      <c r="L371" s="28"/>
      <c r="M371" s="31"/>
    </row>
    <row r="372" spans="1:13" ht="21" x14ac:dyDescent="0.25">
      <c r="A372" s="37" t="s">
        <v>34</v>
      </c>
      <c r="B372" s="37"/>
      <c r="C372" s="38"/>
      <c r="D372" s="39"/>
      <c r="E372" s="40"/>
      <c r="F372" s="41"/>
      <c r="G372" s="42"/>
      <c r="H372" s="42"/>
      <c r="I372" s="43" t="s">
        <v>1</v>
      </c>
      <c r="J372" s="42">
        <f>COUNT(M374:M375)</f>
        <v>0</v>
      </c>
      <c r="K372" s="83"/>
      <c r="L372" s="44" t="s">
        <v>0</v>
      </c>
      <c r="M372" s="45">
        <f>SUM(M374:M375)</f>
        <v>0</v>
      </c>
    </row>
    <row r="373" spans="1:13" ht="37.5" x14ac:dyDescent="0.25">
      <c r="A373" s="80"/>
      <c r="B373" s="80"/>
      <c r="C373" s="47" t="s">
        <v>2</v>
      </c>
      <c r="D373" s="48" t="s">
        <v>3</v>
      </c>
      <c r="E373" s="49" t="s">
        <v>4</v>
      </c>
      <c r="F373" s="50" t="s">
        <v>5</v>
      </c>
      <c r="G373" s="51" t="s">
        <v>6</v>
      </c>
      <c r="H373" s="51" t="s">
        <v>7</v>
      </c>
      <c r="I373" s="50" t="s">
        <v>8</v>
      </c>
      <c r="J373" s="50" t="s">
        <v>9</v>
      </c>
      <c r="K373" s="50" t="s">
        <v>10</v>
      </c>
      <c r="L373" s="51" t="s">
        <v>11</v>
      </c>
      <c r="M373" s="52" t="s">
        <v>12</v>
      </c>
    </row>
    <row r="374" spans="1:13" x14ac:dyDescent="0.25">
      <c r="C374" s="70"/>
      <c r="D374" s="71"/>
      <c r="E374" s="56"/>
      <c r="F374" s="56"/>
      <c r="G374" s="68"/>
      <c r="H374" s="68"/>
      <c r="I374" s="56"/>
      <c r="J374" s="68"/>
      <c r="K374" s="36"/>
      <c r="L374" s="68"/>
      <c r="M374" s="86"/>
    </row>
    <row r="375" spans="1:13" x14ac:dyDescent="0.25">
      <c r="C375" s="70"/>
      <c r="D375" s="71"/>
      <c r="E375" s="72"/>
      <c r="F375" s="56"/>
      <c r="G375" s="68"/>
      <c r="H375" s="68"/>
      <c r="I375" s="56"/>
      <c r="J375" s="68"/>
      <c r="K375" s="36"/>
      <c r="L375" s="68"/>
      <c r="M375" s="84"/>
    </row>
    <row r="376" spans="1:13" ht="21" x14ac:dyDescent="0.25">
      <c r="A376" s="37" t="s">
        <v>35</v>
      </c>
      <c r="B376" s="37"/>
      <c r="C376" s="38"/>
      <c r="D376" s="39"/>
      <c r="E376" s="40"/>
      <c r="F376" s="41"/>
      <c r="G376" s="42"/>
      <c r="H376" s="42"/>
      <c r="I376" s="43" t="s">
        <v>1</v>
      </c>
      <c r="J376" s="42">
        <f>COUNT(M378:M379)</f>
        <v>0</v>
      </c>
      <c r="K376" s="83"/>
      <c r="L376" s="44" t="s">
        <v>0</v>
      </c>
      <c r="M376" s="45">
        <f>SUM(M378:M379)</f>
        <v>0</v>
      </c>
    </row>
    <row r="377" spans="1:13" ht="37.5" x14ac:dyDescent="0.25">
      <c r="A377" s="80"/>
      <c r="B377" s="80"/>
      <c r="C377" s="47" t="s">
        <v>2</v>
      </c>
      <c r="D377" s="48" t="s">
        <v>3</v>
      </c>
      <c r="E377" s="49" t="s">
        <v>4</v>
      </c>
      <c r="F377" s="50" t="s">
        <v>5</v>
      </c>
      <c r="G377" s="51" t="s">
        <v>6</v>
      </c>
      <c r="H377" s="51" t="s">
        <v>7</v>
      </c>
      <c r="I377" s="50" t="s">
        <v>8</v>
      </c>
      <c r="J377" s="50" t="s">
        <v>9</v>
      </c>
      <c r="K377" s="50" t="s">
        <v>10</v>
      </c>
      <c r="L377" s="51" t="s">
        <v>11</v>
      </c>
      <c r="M377" s="52" t="s">
        <v>12</v>
      </c>
    </row>
    <row r="378" spans="1:13" x14ac:dyDescent="0.25">
      <c r="C378" s="18"/>
      <c r="D378" s="22"/>
      <c r="E378" s="19"/>
      <c r="F378" s="24"/>
      <c r="G378" s="20"/>
      <c r="H378" s="20"/>
      <c r="I378" s="24"/>
      <c r="J378" s="20"/>
      <c r="K378" s="24"/>
      <c r="L378" s="20"/>
      <c r="M378" s="21"/>
    </row>
    <row r="379" spans="1:13" x14ac:dyDescent="0.25">
      <c r="C379" s="70"/>
      <c r="D379" s="71"/>
      <c r="E379" s="72"/>
      <c r="F379" s="56"/>
      <c r="G379" s="68"/>
      <c r="H379" s="68"/>
      <c r="I379" s="56"/>
      <c r="J379" s="68"/>
      <c r="K379" s="36"/>
      <c r="L379" s="68"/>
      <c r="M379" s="84"/>
    </row>
    <row r="380" spans="1:13" ht="21" x14ac:dyDescent="0.25">
      <c r="A380" s="37" t="s">
        <v>36</v>
      </c>
      <c r="B380" s="37"/>
      <c r="C380" s="38"/>
      <c r="D380" s="39"/>
      <c r="E380" s="40"/>
      <c r="F380" s="41"/>
      <c r="G380" s="42"/>
      <c r="H380" s="42"/>
      <c r="I380" s="43" t="s">
        <v>1</v>
      </c>
      <c r="J380" s="42">
        <f>COUNT(M382:M389)</f>
        <v>7</v>
      </c>
      <c r="K380" s="83"/>
      <c r="L380" s="44" t="s">
        <v>0</v>
      </c>
      <c r="M380" s="45">
        <f>SUM(M382:M389)</f>
        <v>88817</v>
      </c>
    </row>
    <row r="381" spans="1:13" ht="37.5" x14ac:dyDescent="0.25">
      <c r="A381" s="80"/>
      <c r="B381" s="80"/>
      <c r="C381" s="47" t="s">
        <v>2</v>
      </c>
      <c r="D381" s="48" t="s">
        <v>3</v>
      </c>
      <c r="E381" s="49" t="s">
        <v>4</v>
      </c>
      <c r="F381" s="50" t="s">
        <v>5</v>
      </c>
      <c r="G381" s="51" t="s">
        <v>6</v>
      </c>
      <c r="H381" s="51" t="s">
        <v>7</v>
      </c>
      <c r="I381" s="50" t="s">
        <v>8</v>
      </c>
      <c r="J381" s="50" t="s">
        <v>9</v>
      </c>
      <c r="K381" s="50" t="s">
        <v>10</v>
      </c>
      <c r="L381" s="51" t="s">
        <v>11</v>
      </c>
      <c r="M381" s="52" t="s">
        <v>12</v>
      </c>
    </row>
    <row r="382" spans="1:13" x14ac:dyDescent="0.25">
      <c r="C382" s="54">
        <v>42244</v>
      </c>
      <c r="D382" s="9">
        <v>16028</v>
      </c>
      <c r="E382" s="56" t="s">
        <v>129</v>
      </c>
      <c r="F382" s="56" t="s">
        <v>286</v>
      </c>
      <c r="G382" s="57" t="s">
        <v>101</v>
      </c>
      <c r="H382" s="68" t="s">
        <v>101</v>
      </c>
      <c r="I382" s="56" t="s">
        <v>287</v>
      </c>
      <c r="J382" s="68" t="s">
        <v>69</v>
      </c>
      <c r="K382" s="56" t="s">
        <v>104</v>
      </c>
      <c r="L382" s="85" t="s">
        <v>52</v>
      </c>
      <c r="M382" s="69">
        <v>5000</v>
      </c>
    </row>
    <row r="383" spans="1:13" ht="30" x14ac:dyDescent="0.25">
      <c r="C383" s="29">
        <v>42277</v>
      </c>
      <c r="D383" s="33">
        <v>16056</v>
      </c>
      <c r="E383" s="16" t="s">
        <v>152</v>
      </c>
      <c r="F383" s="16" t="s">
        <v>392</v>
      </c>
      <c r="G383" s="28" t="s">
        <v>101</v>
      </c>
      <c r="H383" s="28" t="s">
        <v>101</v>
      </c>
      <c r="I383" s="16" t="s">
        <v>393</v>
      </c>
      <c r="J383" s="28" t="s">
        <v>62</v>
      </c>
      <c r="K383" s="16" t="s">
        <v>104</v>
      </c>
      <c r="L383" s="28" t="s">
        <v>52</v>
      </c>
      <c r="M383" s="31">
        <f>50000*25%</f>
        <v>12500</v>
      </c>
    </row>
    <row r="384" spans="1:13" ht="30" x14ac:dyDescent="0.25">
      <c r="C384" s="29">
        <v>42277</v>
      </c>
      <c r="D384" s="33">
        <v>16056</v>
      </c>
      <c r="E384" s="16" t="s">
        <v>129</v>
      </c>
      <c r="F384" s="16" t="s">
        <v>392</v>
      </c>
      <c r="G384" s="28" t="s">
        <v>101</v>
      </c>
      <c r="H384" s="28" t="s">
        <v>101</v>
      </c>
      <c r="I384" s="16" t="s">
        <v>393</v>
      </c>
      <c r="J384" s="28" t="s">
        <v>62</v>
      </c>
      <c r="K384" s="16" t="s">
        <v>104</v>
      </c>
      <c r="L384" s="28" t="s">
        <v>52</v>
      </c>
      <c r="M384" s="31">
        <f>50000/2</f>
        <v>25000</v>
      </c>
    </row>
    <row r="385" spans="1:13" ht="30" x14ac:dyDescent="0.25">
      <c r="C385" s="29">
        <v>42277</v>
      </c>
      <c r="D385" s="33">
        <v>16056</v>
      </c>
      <c r="E385" s="16" t="s">
        <v>394</v>
      </c>
      <c r="F385" s="16" t="s">
        <v>392</v>
      </c>
      <c r="G385" s="28" t="s">
        <v>101</v>
      </c>
      <c r="H385" s="28" t="s">
        <v>101</v>
      </c>
      <c r="I385" s="16" t="s">
        <v>393</v>
      </c>
      <c r="J385" s="28" t="s">
        <v>62</v>
      </c>
      <c r="K385" s="16" t="s">
        <v>104</v>
      </c>
      <c r="L385" s="28" t="s">
        <v>52</v>
      </c>
      <c r="M385" s="31">
        <f>50000*25%</f>
        <v>12500</v>
      </c>
    </row>
    <row r="386" spans="1:13" ht="30" x14ac:dyDescent="0.25">
      <c r="C386" s="23">
        <v>42401</v>
      </c>
      <c r="D386" s="34">
        <v>16125</v>
      </c>
      <c r="E386" s="24" t="s">
        <v>609</v>
      </c>
      <c r="F386" s="24" t="s">
        <v>610</v>
      </c>
      <c r="G386" s="25" t="s">
        <v>101</v>
      </c>
      <c r="H386" s="25" t="s">
        <v>101</v>
      </c>
      <c r="I386" s="24" t="s">
        <v>393</v>
      </c>
      <c r="J386" s="25" t="s">
        <v>62</v>
      </c>
      <c r="K386" s="24" t="s">
        <v>611</v>
      </c>
      <c r="L386" s="25" t="s">
        <v>53</v>
      </c>
      <c r="M386" s="26">
        <v>22831</v>
      </c>
    </row>
    <row r="387" spans="1:13" ht="45" x14ac:dyDescent="0.25">
      <c r="C387" s="23">
        <v>42502</v>
      </c>
      <c r="D387" s="34">
        <v>16174</v>
      </c>
      <c r="E387" s="24" t="s">
        <v>702</v>
      </c>
      <c r="F387" s="24" t="s">
        <v>703</v>
      </c>
      <c r="G387" s="25" t="s">
        <v>101</v>
      </c>
      <c r="H387" s="25" t="s">
        <v>101</v>
      </c>
      <c r="I387" s="24" t="s">
        <v>704</v>
      </c>
      <c r="J387" s="25" t="s">
        <v>62</v>
      </c>
      <c r="K387" s="24" t="s">
        <v>104</v>
      </c>
      <c r="L387" s="25" t="s">
        <v>197</v>
      </c>
      <c r="M387" s="26">
        <f>10986*80%</f>
        <v>8788.8000000000011</v>
      </c>
    </row>
    <row r="388" spans="1:13" ht="45" x14ac:dyDescent="0.25">
      <c r="C388" s="23">
        <v>42502</v>
      </c>
      <c r="D388" s="34">
        <v>16174</v>
      </c>
      <c r="E388" s="24" t="s">
        <v>609</v>
      </c>
      <c r="F388" s="24" t="s">
        <v>703</v>
      </c>
      <c r="G388" s="25" t="s">
        <v>101</v>
      </c>
      <c r="H388" s="25" t="s">
        <v>101</v>
      </c>
      <c r="I388" s="24" t="s">
        <v>704</v>
      </c>
      <c r="J388" s="25" t="s">
        <v>62</v>
      </c>
      <c r="K388" s="24" t="s">
        <v>104</v>
      </c>
      <c r="L388" s="25" t="s">
        <v>197</v>
      </c>
      <c r="M388" s="26">
        <f>10986*20%</f>
        <v>2197.2000000000003</v>
      </c>
    </row>
    <row r="389" spans="1:13" x14ac:dyDescent="0.25">
      <c r="C389" s="54"/>
      <c r="D389" s="73"/>
      <c r="E389" s="55"/>
      <c r="F389" s="56"/>
      <c r="G389" s="57"/>
      <c r="H389" s="57"/>
      <c r="I389" s="56"/>
      <c r="J389" s="57"/>
      <c r="K389" s="36"/>
      <c r="L389" s="57"/>
      <c r="M389" s="86"/>
    </row>
    <row r="390" spans="1:13" ht="21" x14ac:dyDescent="0.25">
      <c r="A390" s="37" t="s">
        <v>37</v>
      </c>
      <c r="B390" s="37"/>
      <c r="C390" s="38"/>
      <c r="D390" s="39"/>
      <c r="E390" s="40"/>
      <c r="F390" s="41"/>
      <c r="G390" s="42"/>
      <c r="H390" s="42"/>
      <c r="I390" s="43" t="s">
        <v>1</v>
      </c>
      <c r="J390" s="42">
        <f>COUNT(M392:M395)</f>
        <v>3</v>
      </c>
      <c r="K390" s="83"/>
      <c r="L390" s="44" t="s">
        <v>0</v>
      </c>
      <c r="M390" s="45">
        <f>SUM(M392:M395)</f>
        <v>75154</v>
      </c>
    </row>
    <row r="391" spans="1:13" ht="37.5" x14ac:dyDescent="0.25">
      <c r="A391" s="80"/>
      <c r="B391" s="80"/>
      <c r="C391" s="47" t="s">
        <v>2</v>
      </c>
      <c r="D391" s="48" t="s">
        <v>3</v>
      </c>
      <c r="E391" s="49" t="s">
        <v>4</v>
      </c>
      <c r="F391" s="50" t="s">
        <v>5</v>
      </c>
      <c r="G391" s="51" t="s">
        <v>6</v>
      </c>
      <c r="H391" s="51" t="s">
        <v>7</v>
      </c>
      <c r="I391" s="50" t="s">
        <v>8</v>
      </c>
      <c r="J391" s="50" t="s">
        <v>9</v>
      </c>
      <c r="K391" s="50" t="s">
        <v>10</v>
      </c>
      <c r="L391" s="51" t="s">
        <v>11</v>
      </c>
      <c r="M391" s="52" t="s">
        <v>12</v>
      </c>
    </row>
    <row r="392" spans="1:13" ht="30" x14ac:dyDescent="0.25">
      <c r="C392" s="23">
        <v>42342</v>
      </c>
      <c r="D392" s="34">
        <v>16108</v>
      </c>
      <c r="E392" s="24" t="s">
        <v>553</v>
      </c>
      <c r="F392" s="24" t="s">
        <v>554</v>
      </c>
      <c r="G392" s="25" t="s">
        <v>555</v>
      </c>
      <c r="H392" s="25" t="s">
        <v>555</v>
      </c>
      <c r="I392" s="24" t="s">
        <v>556</v>
      </c>
      <c r="J392" s="25" t="s">
        <v>62</v>
      </c>
      <c r="K392" s="24" t="s">
        <v>473</v>
      </c>
      <c r="L392" s="25" t="s">
        <v>52</v>
      </c>
      <c r="M392" s="26">
        <v>64998</v>
      </c>
    </row>
    <row r="393" spans="1:13" x14ac:dyDescent="0.25">
      <c r="C393" s="23">
        <v>42373</v>
      </c>
      <c r="D393" s="34">
        <v>16120</v>
      </c>
      <c r="E393" s="24" t="s">
        <v>579</v>
      </c>
      <c r="F393" s="24" t="s">
        <v>576</v>
      </c>
      <c r="G393" s="25" t="s">
        <v>577</v>
      </c>
      <c r="H393" s="25" t="s">
        <v>555</v>
      </c>
      <c r="I393" s="24" t="s">
        <v>578</v>
      </c>
      <c r="J393" s="25" t="s">
        <v>70</v>
      </c>
      <c r="K393" s="24" t="s">
        <v>104</v>
      </c>
      <c r="L393" s="25" t="s">
        <v>52</v>
      </c>
      <c r="M393" s="26">
        <f>10156/2</f>
        <v>5078</v>
      </c>
    </row>
    <row r="394" spans="1:13" x14ac:dyDescent="0.25">
      <c r="C394" s="23">
        <v>42373</v>
      </c>
      <c r="D394" s="34">
        <v>16120</v>
      </c>
      <c r="E394" s="24" t="s">
        <v>575</v>
      </c>
      <c r="F394" s="24" t="s">
        <v>576</v>
      </c>
      <c r="G394" s="25" t="s">
        <v>577</v>
      </c>
      <c r="H394" s="25" t="s">
        <v>555</v>
      </c>
      <c r="I394" s="24" t="s">
        <v>578</v>
      </c>
      <c r="J394" s="25" t="s">
        <v>70</v>
      </c>
      <c r="K394" s="24" t="s">
        <v>104</v>
      </c>
      <c r="L394" s="25" t="s">
        <v>52</v>
      </c>
      <c r="M394" s="26">
        <f>10156/2</f>
        <v>5078</v>
      </c>
    </row>
    <row r="395" spans="1:13" x14ac:dyDescent="0.25">
      <c r="C395" s="29"/>
      <c r="D395" s="30"/>
      <c r="E395" s="16"/>
      <c r="F395" s="16"/>
      <c r="G395" s="28"/>
      <c r="H395" s="28"/>
      <c r="I395" s="16"/>
      <c r="J395" s="28"/>
      <c r="K395" s="16"/>
      <c r="L395" s="28"/>
      <c r="M395" s="31"/>
    </row>
    <row r="396" spans="1:13" ht="21" x14ac:dyDescent="0.25">
      <c r="A396" s="37" t="s">
        <v>38</v>
      </c>
      <c r="B396" s="37"/>
      <c r="C396" s="38"/>
      <c r="D396" s="39"/>
      <c r="E396" s="40"/>
      <c r="F396" s="41"/>
      <c r="G396" s="42"/>
      <c r="H396" s="42"/>
      <c r="I396" s="43" t="s">
        <v>1</v>
      </c>
      <c r="J396" s="42">
        <f>J397+J408</f>
        <v>15</v>
      </c>
      <c r="K396" s="83"/>
      <c r="L396" s="44" t="s">
        <v>0</v>
      </c>
      <c r="M396" s="45">
        <f>M397+M408</f>
        <v>1104029.24</v>
      </c>
    </row>
    <row r="397" spans="1:13" ht="21" x14ac:dyDescent="0.25">
      <c r="B397" s="59" t="s">
        <v>38</v>
      </c>
      <c r="C397" s="60"/>
      <c r="D397" s="61"/>
      <c r="E397" s="62"/>
      <c r="F397" s="63"/>
      <c r="G397" s="64"/>
      <c r="H397" s="64"/>
      <c r="I397" s="65" t="s">
        <v>1</v>
      </c>
      <c r="J397" s="64">
        <f>COUNT(M399:M407)</f>
        <v>8</v>
      </c>
      <c r="K397" s="81"/>
      <c r="L397" s="66" t="s">
        <v>0</v>
      </c>
      <c r="M397" s="67">
        <f>SUM(M399:M407)</f>
        <v>851447.24</v>
      </c>
    </row>
    <row r="398" spans="1:13" ht="37.5" x14ac:dyDescent="0.25">
      <c r="A398" s="80"/>
      <c r="B398" s="80"/>
      <c r="C398" s="47" t="s">
        <v>2</v>
      </c>
      <c r="D398" s="48" t="s">
        <v>3</v>
      </c>
      <c r="E398" s="49" t="s">
        <v>4</v>
      </c>
      <c r="F398" s="50" t="s">
        <v>5</v>
      </c>
      <c r="G398" s="51" t="s">
        <v>6</v>
      </c>
      <c r="H398" s="51" t="s">
        <v>7</v>
      </c>
      <c r="I398" s="50" t="s">
        <v>8</v>
      </c>
      <c r="J398" s="50" t="s">
        <v>9</v>
      </c>
      <c r="K398" s="50" t="s">
        <v>10</v>
      </c>
      <c r="L398" s="51" t="s">
        <v>11</v>
      </c>
      <c r="M398" s="52" t="s">
        <v>12</v>
      </c>
    </row>
    <row r="399" spans="1:13" x14ac:dyDescent="0.25">
      <c r="C399" s="54">
        <v>42212</v>
      </c>
      <c r="D399" s="9">
        <v>16023</v>
      </c>
      <c r="E399" s="56" t="s">
        <v>112</v>
      </c>
      <c r="F399" s="56" t="s">
        <v>248</v>
      </c>
      <c r="G399" s="57" t="s">
        <v>66</v>
      </c>
      <c r="H399" s="68" t="s">
        <v>66</v>
      </c>
      <c r="I399" s="56" t="s">
        <v>96</v>
      </c>
      <c r="J399" s="68" t="s">
        <v>62</v>
      </c>
      <c r="K399" s="56" t="s">
        <v>249</v>
      </c>
      <c r="L399" s="85" t="s">
        <v>52</v>
      </c>
      <c r="M399" s="69">
        <v>216216</v>
      </c>
    </row>
    <row r="400" spans="1:13" x14ac:dyDescent="0.25">
      <c r="C400" s="29">
        <v>42277</v>
      </c>
      <c r="D400" s="33" t="s">
        <v>399</v>
      </c>
      <c r="E400" s="16" t="s">
        <v>167</v>
      </c>
      <c r="F400" s="16" t="s">
        <v>400</v>
      </c>
      <c r="G400" s="28" t="s">
        <v>401</v>
      </c>
      <c r="H400" s="28" t="s">
        <v>66</v>
      </c>
      <c r="I400" s="16" t="s">
        <v>104</v>
      </c>
      <c r="J400" s="28" t="s">
        <v>58</v>
      </c>
      <c r="K400" s="16" t="s">
        <v>104</v>
      </c>
      <c r="L400" s="28" t="s">
        <v>53</v>
      </c>
      <c r="M400" s="31">
        <v>7600</v>
      </c>
    </row>
    <row r="401" spans="1:13" ht="30" x14ac:dyDescent="0.25">
      <c r="C401" s="23">
        <v>42331</v>
      </c>
      <c r="D401" s="34">
        <v>16102</v>
      </c>
      <c r="E401" s="24" t="s">
        <v>543</v>
      </c>
      <c r="F401" s="24" t="s">
        <v>540</v>
      </c>
      <c r="G401" s="25" t="s">
        <v>181</v>
      </c>
      <c r="H401" s="25" t="s">
        <v>66</v>
      </c>
      <c r="I401" s="24" t="s">
        <v>542</v>
      </c>
      <c r="J401" s="25" t="s">
        <v>69</v>
      </c>
      <c r="K401" s="24" t="s">
        <v>104</v>
      </c>
      <c r="L401" s="25" t="s">
        <v>53</v>
      </c>
      <c r="M401" s="26">
        <f>30000/2</f>
        <v>15000</v>
      </c>
    </row>
    <row r="402" spans="1:13" x14ac:dyDescent="0.25">
      <c r="C402" s="23">
        <v>42369</v>
      </c>
      <c r="D402" s="34" t="s">
        <v>399</v>
      </c>
      <c r="E402" s="24" t="s">
        <v>167</v>
      </c>
      <c r="F402" s="24" t="s">
        <v>400</v>
      </c>
      <c r="G402" s="25" t="s">
        <v>401</v>
      </c>
      <c r="H402" s="25" t="s">
        <v>66</v>
      </c>
      <c r="I402" s="24" t="s">
        <v>104</v>
      </c>
      <c r="J402" s="25" t="s">
        <v>58</v>
      </c>
      <c r="K402" s="24" t="s">
        <v>104</v>
      </c>
      <c r="L402" s="25" t="s">
        <v>53</v>
      </c>
      <c r="M402" s="26">
        <v>11545.24</v>
      </c>
    </row>
    <row r="403" spans="1:13" x14ac:dyDescent="0.25">
      <c r="C403" s="23">
        <v>42398</v>
      </c>
      <c r="D403" s="34">
        <v>16124</v>
      </c>
      <c r="E403" s="24" t="s">
        <v>543</v>
      </c>
      <c r="F403" s="24" t="s">
        <v>605</v>
      </c>
      <c r="G403" s="25" t="s">
        <v>181</v>
      </c>
      <c r="H403" s="25" t="s">
        <v>66</v>
      </c>
      <c r="I403" s="24" t="s">
        <v>606</v>
      </c>
      <c r="J403" s="25" t="s">
        <v>69</v>
      </c>
      <c r="K403" s="24" t="s">
        <v>104</v>
      </c>
      <c r="L403" s="25" t="s">
        <v>53</v>
      </c>
      <c r="M403" s="26">
        <v>1500</v>
      </c>
    </row>
    <row r="404" spans="1:13" x14ac:dyDescent="0.25">
      <c r="C404" s="23">
        <v>42460</v>
      </c>
      <c r="D404" s="34" t="s">
        <v>399</v>
      </c>
      <c r="E404" s="24" t="s">
        <v>167</v>
      </c>
      <c r="F404" s="24" t="s">
        <v>400</v>
      </c>
      <c r="G404" s="25" t="s">
        <v>401</v>
      </c>
      <c r="H404" s="25" t="s">
        <v>66</v>
      </c>
      <c r="I404" s="24" t="s">
        <v>104</v>
      </c>
      <c r="J404" s="25" t="s">
        <v>58</v>
      </c>
      <c r="K404" s="24" t="s">
        <v>104</v>
      </c>
      <c r="L404" s="25" t="s">
        <v>53</v>
      </c>
      <c r="M404" s="26">
        <v>1000</v>
      </c>
    </row>
    <row r="405" spans="1:13" ht="30" x14ac:dyDescent="0.25">
      <c r="C405" s="23">
        <v>42486</v>
      </c>
      <c r="D405" s="34">
        <v>16177</v>
      </c>
      <c r="E405" s="24" t="s">
        <v>543</v>
      </c>
      <c r="F405" s="24" t="s">
        <v>692</v>
      </c>
      <c r="G405" s="25" t="s">
        <v>541</v>
      </c>
      <c r="H405" s="25" t="s">
        <v>66</v>
      </c>
      <c r="I405" s="24" t="s">
        <v>693</v>
      </c>
      <c r="J405" s="25" t="s">
        <v>69</v>
      </c>
      <c r="K405" s="24" t="s">
        <v>104</v>
      </c>
      <c r="L405" s="25" t="s">
        <v>53</v>
      </c>
      <c r="M405" s="26">
        <v>20622</v>
      </c>
    </row>
    <row r="406" spans="1:13" ht="45" x14ac:dyDescent="0.25">
      <c r="C406" s="23">
        <v>42509</v>
      </c>
      <c r="D406" s="34">
        <v>16182</v>
      </c>
      <c r="E406" s="24" t="s">
        <v>112</v>
      </c>
      <c r="F406" s="24" t="s">
        <v>713</v>
      </c>
      <c r="G406" s="25" t="s">
        <v>66</v>
      </c>
      <c r="H406" s="25" t="s">
        <v>66</v>
      </c>
      <c r="I406" s="24" t="s">
        <v>96</v>
      </c>
      <c r="J406" s="25" t="s">
        <v>62</v>
      </c>
      <c r="K406" s="24" t="s">
        <v>77</v>
      </c>
      <c r="L406" s="25" t="s">
        <v>52</v>
      </c>
      <c r="M406" s="26">
        <v>577964</v>
      </c>
    </row>
    <row r="407" spans="1:13" x14ac:dyDescent="0.25">
      <c r="C407" s="70"/>
      <c r="D407" s="71"/>
      <c r="E407" s="36"/>
      <c r="F407" s="56"/>
      <c r="G407" s="68"/>
      <c r="H407" s="68"/>
      <c r="I407" s="56"/>
      <c r="J407" s="68"/>
      <c r="K407" s="36"/>
      <c r="L407" s="68"/>
      <c r="M407" s="86"/>
    </row>
    <row r="408" spans="1:13" ht="21" x14ac:dyDescent="0.25">
      <c r="A408" s="58"/>
      <c r="B408" s="59" t="s">
        <v>39</v>
      </c>
      <c r="C408" s="60"/>
      <c r="D408" s="61"/>
      <c r="E408" s="62"/>
      <c r="F408" s="63"/>
      <c r="G408" s="64"/>
      <c r="H408" s="64"/>
      <c r="I408" s="65" t="s">
        <v>1</v>
      </c>
      <c r="J408" s="64">
        <f>COUNT(M410:M417)</f>
        <v>7</v>
      </c>
      <c r="K408" s="81"/>
      <c r="L408" s="66" t="s">
        <v>0</v>
      </c>
      <c r="M408" s="67">
        <f>SUM(M410:M417)</f>
        <v>252582</v>
      </c>
    </row>
    <row r="409" spans="1:13" ht="37.5" x14ac:dyDescent="0.25">
      <c r="A409" s="80"/>
      <c r="B409" s="80"/>
      <c r="C409" s="47" t="s">
        <v>2</v>
      </c>
      <c r="D409" s="48" t="s">
        <v>3</v>
      </c>
      <c r="E409" s="49" t="s">
        <v>4</v>
      </c>
      <c r="F409" s="50" t="s">
        <v>5</v>
      </c>
      <c r="G409" s="51" t="s">
        <v>6</v>
      </c>
      <c r="H409" s="51" t="s">
        <v>7</v>
      </c>
      <c r="I409" s="50" t="s">
        <v>8</v>
      </c>
      <c r="J409" s="50" t="s">
        <v>9</v>
      </c>
      <c r="K409" s="50" t="s">
        <v>10</v>
      </c>
      <c r="L409" s="51" t="s">
        <v>11</v>
      </c>
      <c r="M409" s="52" t="s">
        <v>12</v>
      </c>
    </row>
    <row r="410" spans="1:13" ht="30" x14ac:dyDescent="0.25">
      <c r="C410" s="54">
        <v>42212</v>
      </c>
      <c r="D410" s="9">
        <v>16012</v>
      </c>
      <c r="E410" s="56" t="s">
        <v>108</v>
      </c>
      <c r="F410" s="56" t="s">
        <v>176</v>
      </c>
      <c r="G410" s="57" t="s">
        <v>67</v>
      </c>
      <c r="H410" s="68" t="s">
        <v>66</v>
      </c>
      <c r="I410" s="56" t="s">
        <v>68</v>
      </c>
      <c r="J410" s="68" t="s">
        <v>69</v>
      </c>
      <c r="K410" s="56" t="s">
        <v>104</v>
      </c>
      <c r="L410" s="85" t="s">
        <v>53</v>
      </c>
      <c r="M410" s="69">
        <v>128989</v>
      </c>
    </row>
    <row r="411" spans="1:13" x14ac:dyDescent="0.25">
      <c r="C411" s="29">
        <v>42277</v>
      </c>
      <c r="D411" s="33" t="s">
        <v>404</v>
      </c>
      <c r="E411" s="16" t="s">
        <v>108</v>
      </c>
      <c r="F411" s="16" t="s">
        <v>405</v>
      </c>
      <c r="G411" s="28" t="s">
        <v>67</v>
      </c>
      <c r="H411" s="28" t="s">
        <v>66</v>
      </c>
      <c r="I411" s="16" t="s">
        <v>104</v>
      </c>
      <c r="J411" s="28" t="s">
        <v>58</v>
      </c>
      <c r="K411" s="16" t="s">
        <v>104</v>
      </c>
      <c r="L411" s="28" t="s">
        <v>53</v>
      </c>
      <c r="M411" s="31">
        <v>4307.91</v>
      </c>
    </row>
    <row r="412" spans="1:13" x14ac:dyDescent="0.25">
      <c r="C412" s="12">
        <v>42282</v>
      </c>
      <c r="D412" s="32">
        <v>16062</v>
      </c>
      <c r="E412" s="13" t="s">
        <v>108</v>
      </c>
      <c r="F412" s="13" t="s">
        <v>182</v>
      </c>
      <c r="G412" s="14" t="s">
        <v>67</v>
      </c>
      <c r="H412" s="14" t="s">
        <v>66</v>
      </c>
      <c r="I412" s="13" t="s">
        <v>68</v>
      </c>
      <c r="J412" s="14" t="s">
        <v>69</v>
      </c>
      <c r="K412" s="13" t="s">
        <v>104</v>
      </c>
      <c r="L412" s="14" t="s">
        <v>198</v>
      </c>
      <c r="M412" s="15">
        <v>15912</v>
      </c>
    </row>
    <row r="413" spans="1:13" x14ac:dyDescent="0.25">
      <c r="C413" s="23">
        <v>42369</v>
      </c>
      <c r="D413" s="34" t="s">
        <v>404</v>
      </c>
      <c r="E413" s="24" t="s">
        <v>108</v>
      </c>
      <c r="F413" s="24" t="s">
        <v>405</v>
      </c>
      <c r="G413" s="25" t="s">
        <v>67</v>
      </c>
      <c r="H413" s="25" t="s">
        <v>66</v>
      </c>
      <c r="I413" s="24" t="s">
        <v>104</v>
      </c>
      <c r="J413" s="25" t="s">
        <v>58</v>
      </c>
      <c r="K413" s="24" t="s">
        <v>104</v>
      </c>
      <c r="L413" s="25" t="s">
        <v>53</v>
      </c>
      <c r="M413" s="26">
        <v>53065.279999999999</v>
      </c>
    </row>
    <row r="414" spans="1:13" x14ac:dyDescent="0.25">
      <c r="C414" s="23">
        <v>42460</v>
      </c>
      <c r="D414" s="34" t="s">
        <v>404</v>
      </c>
      <c r="E414" s="24" t="s">
        <v>108</v>
      </c>
      <c r="F414" s="24" t="s">
        <v>405</v>
      </c>
      <c r="G414" s="25" t="s">
        <v>67</v>
      </c>
      <c r="H414" s="25" t="s">
        <v>66</v>
      </c>
      <c r="I414" s="24" t="s">
        <v>104</v>
      </c>
      <c r="J414" s="25" t="s">
        <v>58</v>
      </c>
      <c r="K414" s="24" t="s">
        <v>104</v>
      </c>
      <c r="L414" s="25" t="s">
        <v>53</v>
      </c>
      <c r="M414" s="26">
        <v>2000.0099999999998</v>
      </c>
    </row>
    <row r="415" spans="1:13" ht="30" x14ac:dyDescent="0.25">
      <c r="C415" s="23">
        <v>42521</v>
      </c>
      <c r="D415" s="34">
        <v>16186</v>
      </c>
      <c r="E415" s="24" t="s">
        <v>108</v>
      </c>
      <c r="F415" s="24" t="s">
        <v>724</v>
      </c>
      <c r="G415" s="25" t="s">
        <v>67</v>
      </c>
      <c r="H415" s="25" t="s">
        <v>66</v>
      </c>
      <c r="I415" s="24" t="s">
        <v>473</v>
      </c>
      <c r="J415" s="25" t="s">
        <v>70</v>
      </c>
      <c r="K415" s="24" t="s">
        <v>104</v>
      </c>
      <c r="L415" s="25" t="s">
        <v>198</v>
      </c>
      <c r="M415" s="26">
        <v>26797</v>
      </c>
    </row>
    <row r="416" spans="1:13" x14ac:dyDescent="0.25">
      <c r="C416" s="29">
        <v>42551</v>
      </c>
      <c r="D416" s="34" t="s">
        <v>404</v>
      </c>
      <c r="E416" s="24" t="s">
        <v>108</v>
      </c>
      <c r="F416" s="24" t="s">
        <v>735</v>
      </c>
      <c r="G416" s="25" t="s">
        <v>67</v>
      </c>
      <c r="H416" s="25" t="s">
        <v>66</v>
      </c>
      <c r="I416" s="16" t="s">
        <v>104</v>
      </c>
      <c r="J416" s="28" t="s">
        <v>58</v>
      </c>
      <c r="K416" s="16" t="s">
        <v>104</v>
      </c>
      <c r="L416" s="25" t="s">
        <v>53</v>
      </c>
      <c r="M416" s="26">
        <v>21510.799999999996</v>
      </c>
    </row>
    <row r="417" spans="1:13" x14ac:dyDescent="0.25">
      <c r="C417" s="70"/>
      <c r="D417" s="71"/>
      <c r="E417" s="36"/>
      <c r="F417" s="56"/>
      <c r="G417" s="68"/>
      <c r="H417" s="68"/>
      <c r="I417" s="56"/>
      <c r="J417" s="68"/>
      <c r="K417" s="36"/>
      <c r="L417" s="68"/>
      <c r="M417" s="86"/>
    </row>
    <row r="418" spans="1:13" ht="21" x14ac:dyDescent="0.25">
      <c r="A418" s="37" t="s">
        <v>40</v>
      </c>
      <c r="B418" s="37"/>
      <c r="C418" s="38"/>
      <c r="D418" s="39"/>
      <c r="E418" s="40"/>
      <c r="F418" s="41"/>
      <c r="G418" s="42"/>
      <c r="H418" s="42"/>
      <c r="I418" s="43" t="s">
        <v>1</v>
      </c>
      <c r="J418" s="42">
        <f>J419+J452+J474+J490+J497+J509+J520</f>
        <v>90</v>
      </c>
      <c r="K418" s="83"/>
      <c r="L418" s="44" t="s">
        <v>0</v>
      </c>
      <c r="M418" s="45">
        <f>M419+M452+M474+M490+M497+M509+M520</f>
        <v>15525949.029999996</v>
      </c>
    </row>
    <row r="419" spans="1:13" ht="21" x14ac:dyDescent="0.25">
      <c r="B419" s="59" t="s">
        <v>40</v>
      </c>
      <c r="C419" s="60"/>
      <c r="D419" s="61"/>
      <c r="E419" s="62"/>
      <c r="F419" s="63"/>
      <c r="G419" s="64"/>
      <c r="H419" s="64"/>
      <c r="I419" s="65" t="s">
        <v>1</v>
      </c>
      <c r="J419" s="64">
        <f>COUNT(M421:M451)</f>
        <v>30</v>
      </c>
      <c r="K419" s="81"/>
      <c r="L419" s="66" t="s">
        <v>0</v>
      </c>
      <c r="M419" s="67">
        <f>SUM(M421:M451)</f>
        <v>2813333.1199999996</v>
      </c>
    </row>
    <row r="420" spans="1:13" ht="37.5" x14ac:dyDescent="0.25">
      <c r="A420" s="80"/>
      <c r="B420" s="80"/>
      <c r="C420" s="47" t="s">
        <v>2</v>
      </c>
      <c r="D420" s="48" t="s">
        <v>3</v>
      </c>
      <c r="E420" s="49" t="s">
        <v>4</v>
      </c>
      <c r="F420" s="50" t="s">
        <v>5</v>
      </c>
      <c r="G420" s="51" t="s">
        <v>6</v>
      </c>
      <c r="H420" s="51" t="s">
        <v>7</v>
      </c>
      <c r="I420" s="50" t="s">
        <v>8</v>
      </c>
      <c r="J420" s="50" t="s">
        <v>9</v>
      </c>
      <c r="K420" s="50" t="s">
        <v>10</v>
      </c>
      <c r="L420" s="51" t="s">
        <v>11</v>
      </c>
      <c r="M420" s="52" t="s">
        <v>12</v>
      </c>
    </row>
    <row r="421" spans="1:13" x14ac:dyDescent="0.25">
      <c r="C421" s="29">
        <v>42277</v>
      </c>
      <c r="D421" s="33" t="s">
        <v>415</v>
      </c>
      <c r="E421" s="16" t="s">
        <v>173</v>
      </c>
      <c r="F421" s="16" t="s">
        <v>416</v>
      </c>
      <c r="G421" s="28" t="s">
        <v>417</v>
      </c>
      <c r="H421" s="28" t="s">
        <v>65</v>
      </c>
      <c r="I421" s="16" t="s">
        <v>104</v>
      </c>
      <c r="J421" s="28" t="s">
        <v>58</v>
      </c>
      <c r="K421" s="16" t="s">
        <v>104</v>
      </c>
      <c r="L421" s="28" t="s">
        <v>53</v>
      </c>
      <c r="M421" s="31">
        <v>19495</v>
      </c>
    </row>
    <row r="422" spans="1:13" x14ac:dyDescent="0.25">
      <c r="C422" s="29">
        <v>42277</v>
      </c>
      <c r="D422" s="33" t="s">
        <v>418</v>
      </c>
      <c r="E422" s="16" t="s">
        <v>173</v>
      </c>
      <c r="F422" s="16" t="s">
        <v>419</v>
      </c>
      <c r="G422" s="28" t="s">
        <v>417</v>
      </c>
      <c r="H422" s="28" t="s">
        <v>65</v>
      </c>
      <c r="I422" s="16" t="s">
        <v>104</v>
      </c>
      <c r="J422" s="28" t="s">
        <v>58</v>
      </c>
      <c r="K422" s="16" t="s">
        <v>104</v>
      </c>
      <c r="L422" s="28" t="s">
        <v>53</v>
      </c>
      <c r="M422" s="31">
        <v>88550</v>
      </c>
    </row>
    <row r="423" spans="1:13" x14ac:dyDescent="0.25">
      <c r="C423" s="29">
        <v>42277</v>
      </c>
      <c r="D423" s="33" t="s">
        <v>420</v>
      </c>
      <c r="E423" s="16" t="s">
        <v>173</v>
      </c>
      <c r="F423" s="16" t="s">
        <v>421</v>
      </c>
      <c r="G423" s="28" t="s">
        <v>417</v>
      </c>
      <c r="H423" s="28" t="s">
        <v>65</v>
      </c>
      <c r="I423" s="16" t="s">
        <v>104</v>
      </c>
      <c r="J423" s="28" t="s">
        <v>58</v>
      </c>
      <c r="K423" s="16" t="s">
        <v>104</v>
      </c>
      <c r="L423" s="28" t="s">
        <v>53</v>
      </c>
      <c r="M423" s="31">
        <v>3182.76</v>
      </c>
    </row>
    <row r="424" spans="1:13" x14ac:dyDescent="0.25">
      <c r="C424" s="29">
        <v>42277</v>
      </c>
      <c r="D424" s="33" t="s">
        <v>422</v>
      </c>
      <c r="E424" s="16" t="s">
        <v>173</v>
      </c>
      <c r="F424" s="16" t="s">
        <v>423</v>
      </c>
      <c r="G424" s="28" t="s">
        <v>417</v>
      </c>
      <c r="H424" s="28" t="s">
        <v>65</v>
      </c>
      <c r="I424" s="16" t="s">
        <v>104</v>
      </c>
      <c r="J424" s="28" t="s">
        <v>58</v>
      </c>
      <c r="K424" s="16" t="s">
        <v>104</v>
      </c>
      <c r="L424" s="28" t="s">
        <v>53</v>
      </c>
      <c r="M424" s="31">
        <v>9025.75</v>
      </c>
    </row>
    <row r="425" spans="1:13" x14ac:dyDescent="0.25">
      <c r="C425" s="29">
        <v>42277</v>
      </c>
      <c r="D425" s="33" t="s">
        <v>424</v>
      </c>
      <c r="E425" s="16" t="s">
        <v>173</v>
      </c>
      <c r="F425" s="16" t="s">
        <v>425</v>
      </c>
      <c r="G425" s="28" t="s">
        <v>417</v>
      </c>
      <c r="H425" s="28" t="s">
        <v>65</v>
      </c>
      <c r="I425" s="16" t="s">
        <v>104</v>
      </c>
      <c r="J425" s="28" t="s">
        <v>58</v>
      </c>
      <c r="K425" s="16" t="s">
        <v>104</v>
      </c>
      <c r="L425" s="28" t="s">
        <v>53</v>
      </c>
      <c r="M425" s="31">
        <v>22200</v>
      </c>
    </row>
    <row r="426" spans="1:13" x14ac:dyDescent="0.25">
      <c r="C426" s="29">
        <v>42277</v>
      </c>
      <c r="D426" s="33" t="s">
        <v>427</v>
      </c>
      <c r="E426" s="16" t="s">
        <v>121</v>
      </c>
      <c r="F426" s="16" t="s">
        <v>428</v>
      </c>
      <c r="G426" s="28" t="s">
        <v>429</v>
      </c>
      <c r="H426" s="28" t="s">
        <v>65</v>
      </c>
      <c r="I426" s="16" t="s">
        <v>104</v>
      </c>
      <c r="J426" s="28" t="s">
        <v>58</v>
      </c>
      <c r="K426" s="16" t="s">
        <v>104</v>
      </c>
      <c r="L426" s="28" t="s">
        <v>53</v>
      </c>
      <c r="M426" s="31">
        <v>83854</v>
      </c>
    </row>
    <row r="427" spans="1:13" ht="30" x14ac:dyDescent="0.25">
      <c r="C427" s="23">
        <v>42331</v>
      </c>
      <c r="D427" s="34">
        <v>16098</v>
      </c>
      <c r="E427" s="24" t="s">
        <v>535</v>
      </c>
      <c r="F427" s="24" t="s">
        <v>536</v>
      </c>
      <c r="G427" s="25" t="s">
        <v>537</v>
      </c>
      <c r="H427" s="25" t="s">
        <v>65</v>
      </c>
      <c r="I427" s="24" t="s">
        <v>538</v>
      </c>
      <c r="J427" s="25" t="s">
        <v>69</v>
      </c>
      <c r="K427" s="24" t="s">
        <v>104</v>
      </c>
      <c r="L427" s="25" t="s">
        <v>53</v>
      </c>
      <c r="M427" s="26">
        <f>123995*50%</f>
        <v>61997.5</v>
      </c>
    </row>
    <row r="428" spans="1:13" ht="30" x14ac:dyDescent="0.25">
      <c r="C428" s="23">
        <v>42331</v>
      </c>
      <c r="D428" s="34">
        <v>16099</v>
      </c>
      <c r="E428" s="24" t="s">
        <v>535</v>
      </c>
      <c r="F428" s="24" t="s">
        <v>539</v>
      </c>
      <c r="G428" s="25" t="s">
        <v>537</v>
      </c>
      <c r="H428" s="25" t="s">
        <v>65</v>
      </c>
      <c r="I428" s="24" t="s">
        <v>538</v>
      </c>
      <c r="J428" s="25" t="s">
        <v>69</v>
      </c>
      <c r="K428" s="24" t="s">
        <v>104</v>
      </c>
      <c r="L428" s="25" t="s">
        <v>53</v>
      </c>
      <c r="M428" s="26">
        <f>745726*50%</f>
        <v>372863</v>
      </c>
    </row>
    <row r="429" spans="1:13" ht="30" x14ac:dyDescent="0.25">
      <c r="C429" s="23">
        <v>42331</v>
      </c>
      <c r="D429" s="34">
        <v>16098</v>
      </c>
      <c r="E429" s="24" t="s">
        <v>189</v>
      </c>
      <c r="F429" s="24" t="s">
        <v>536</v>
      </c>
      <c r="G429" s="25" t="s">
        <v>537</v>
      </c>
      <c r="H429" s="25" t="s">
        <v>65</v>
      </c>
      <c r="I429" s="24" t="s">
        <v>538</v>
      </c>
      <c r="J429" s="25" t="s">
        <v>69</v>
      </c>
      <c r="K429" s="24" t="s">
        <v>104</v>
      </c>
      <c r="L429" s="25" t="s">
        <v>53</v>
      </c>
      <c r="M429" s="26">
        <f>123995*50%</f>
        <v>61997.5</v>
      </c>
    </row>
    <row r="430" spans="1:13" ht="30" x14ac:dyDescent="0.25">
      <c r="C430" s="23">
        <v>42331</v>
      </c>
      <c r="D430" s="34">
        <v>16099</v>
      </c>
      <c r="E430" s="24" t="s">
        <v>189</v>
      </c>
      <c r="F430" s="24" t="s">
        <v>539</v>
      </c>
      <c r="G430" s="25" t="s">
        <v>537</v>
      </c>
      <c r="H430" s="25" t="s">
        <v>65</v>
      </c>
      <c r="I430" s="24" t="s">
        <v>538</v>
      </c>
      <c r="J430" s="25" t="s">
        <v>69</v>
      </c>
      <c r="K430" s="24" t="s">
        <v>104</v>
      </c>
      <c r="L430" s="25" t="s">
        <v>53</v>
      </c>
      <c r="M430" s="26">
        <f>745726*50%</f>
        <v>372863</v>
      </c>
    </row>
    <row r="431" spans="1:13" x14ac:dyDescent="0.25">
      <c r="C431" s="23">
        <v>42369</v>
      </c>
      <c r="D431" s="34" t="s">
        <v>415</v>
      </c>
      <c r="E431" s="24" t="s">
        <v>173</v>
      </c>
      <c r="F431" s="24" t="s">
        <v>416</v>
      </c>
      <c r="G431" s="25" t="s">
        <v>417</v>
      </c>
      <c r="H431" s="25" t="s">
        <v>65</v>
      </c>
      <c r="I431" s="24" t="s">
        <v>104</v>
      </c>
      <c r="J431" s="25" t="s">
        <v>58</v>
      </c>
      <c r="K431" s="24" t="s">
        <v>104</v>
      </c>
      <c r="L431" s="25" t="s">
        <v>53</v>
      </c>
      <c r="M431" s="26">
        <v>7977</v>
      </c>
    </row>
    <row r="432" spans="1:13" x14ac:dyDescent="0.25">
      <c r="C432" s="23">
        <v>42369</v>
      </c>
      <c r="D432" s="34" t="s">
        <v>420</v>
      </c>
      <c r="E432" s="24" t="s">
        <v>173</v>
      </c>
      <c r="F432" s="24" t="s">
        <v>421</v>
      </c>
      <c r="G432" s="25" t="s">
        <v>417</v>
      </c>
      <c r="H432" s="25" t="s">
        <v>65</v>
      </c>
      <c r="I432" s="24" t="s">
        <v>104</v>
      </c>
      <c r="J432" s="25" t="s">
        <v>58</v>
      </c>
      <c r="K432" s="24" t="s">
        <v>104</v>
      </c>
      <c r="L432" s="25" t="s">
        <v>53</v>
      </c>
      <c r="M432" s="26">
        <v>56400</v>
      </c>
    </row>
    <row r="433" spans="3:13" x14ac:dyDescent="0.25">
      <c r="C433" s="23">
        <v>42369</v>
      </c>
      <c r="D433" s="34" t="s">
        <v>422</v>
      </c>
      <c r="E433" s="24" t="s">
        <v>173</v>
      </c>
      <c r="F433" s="24" t="s">
        <v>423</v>
      </c>
      <c r="G433" s="25" t="s">
        <v>417</v>
      </c>
      <c r="H433" s="25" t="s">
        <v>65</v>
      </c>
      <c r="I433" s="24" t="s">
        <v>104</v>
      </c>
      <c r="J433" s="25" t="s">
        <v>58</v>
      </c>
      <c r="K433" s="24" t="s">
        <v>104</v>
      </c>
      <c r="L433" s="25" t="s">
        <v>53</v>
      </c>
      <c r="M433" s="26">
        <v>-250</v>
      </c>
    </row>
    <row r="434" spans="3:13" x14ac:dyDescent="0.25">
      <c r="C434" s="23">
        <v>42369</v>
      </c>
      <c r="D434" s="34" t="s">
        <v>424</v>
      </c>
      <c r="E434" s="24" t="s">
        <v>173</v>
      </c>
      <c r="F434" s="24" t="s">
        <v>425</v>
      </c>
      <c r="G434" s="25" t="s">
        <v>417</v>
      </c>
      <c r="H434" s="25" t="s">
        <v>65</v>
      </c>
      <c r="I434" s="24" t="s">
        <v>104</v>
      </c>
      <c r="J434" s="25" t="s">
        <v>58</v>
      </c>
      <c r="K434" s="24" t="s">
        <v>104</v>
      </c>
      <c r="L434" s="25" t="s">
        <v>53</v>
      </c>
      <c r="M434" s="26">
        <v>2045</v>
      </c>
    </row>
    <row r="435" spans="3:13" x14ac:dyDescent="0.25">
      <c r="C435" s="23">
        <v>42369</v>
      </c>
      <c r="D435" s="34" t="s">
        <v>427</v>
      </c>
      <c r="E435" s="24" t="s">
        <v>121</v>
      </c>
      <c r="F435" s="24" t="s">
        <v>428</v>
      </c>
      <c r="G435" s="25" t="s">
        <v>429</v>
      </c>
      <c r="H435" s="25" t="s">
        <v>65</v>
      </c>
      <c r="I435" s="24" t="s">
        <v>104</v>
      </c>
      <c r="J435" s="25" t="s">
        <v>58</v>
      </c>
      <c r="K435" s="24" t="s">
        <v>104</v>
      </c>
      <c r="L435" s="25" t="s">
        <v>53</v>
      </c>
      <c r="M435" s="26">
        <v>50029</v>
      </c>
    </row>
    <row r="436" spans="3:13" ht="30" x14ac:dyDescent="0.25">
      <c r="C436" s="23">
        <v>42389</v>
      </c>
      <c r="D436" s="34">
        <v>16128</v>
      </c>
      <c r="E436" s="24" t="s">
        <v>535</v>
      </c>
      <c r="F436" s="24" t="s">
        <v>599</v>
      </c>
      <c r="G436" s="25" t="s">
        <v>537</v>
      </c>
      <c r="H436" s="25" t="s">
        <v>65</v>
      </c>
      <c r="I436" s="24" t="s">
        <v>600</v>
      </c>
      <c r="J436" s="25" t="s">
        <v>70</v>
      </c>
      <c r="K436" s="24" t="s">
        <v>578</v>
      </c>
      <c r="L436" s="25" t="s">
        <v>53</v>
      </c>
      <c r="M436" s="26">
        <v>6915</v>
      </c>
    </row>
    <row r="437" spans="3:13" ht="30" x14ac:dyDescent="0.25">
      <c r="C437" s="23">
        <v>42389</v>
      </c>
      <c r="D437" s="34">
        <v>16128</v>
      </c>
      <c r="E437" s="24" t="s">
        <v>189</v>
      </c>
      <c r="F437" s="74" t="s">
        <v>599</v>
      </c>
      <c r="G437" s="25" t="s">
        <v>537</v>
      </c>
      <c r="H437" s="25" t="s">
        <v>65</v>
      </c>
      <c r="I437" s="24" t="s">
        <v>600</v>
      </c>
      <c r="J437" s="25" t="s">
        <v>70</v>
      </c>
      <c r="K437" s="24" t="s">
        <v>578</v>
      </c>
      <c r="L437" s="25" t="s">
        <v>53</v>
      </c>
      <c r="M437" s="26">
        <v>6915</v>
      </c>
    </row>
    <row r="438" spans="3:13" ht="30" x14ac:dyDescent="0.25">
      <c r="C438" s="23">
        <v>42389</v>
      </c>
      <c r="D438" s="34">
        <v>16129</v>
      </c>
      <c r="E438" s="24" t="s">
        <v>535</v>
      </c>
      <c r="F438" s="24" t="s">
        <v>601</v>
      </c>
      <c r="G438" s="25" t="s">
        <v>537</v>
      </c>
      <c r="H438" s="25" t="s">
        <v>65</v>
      </c>
      <c r="I438" s="24" t="s">
        <v>600</v>
      </c>
      <c r="J438" s="25" t="s">
        <v>70</v>
      </c>
      <c r="K438" s="24" t="s">
        <v>578</v>
      </c>
      <c r="L438" s="25" t="s">
        <v>53</v>
      </c>
      <c r="M438" s="26">
        <v>45883</v>
      </c>
    </row>
    <row r="439" spans="3:13" ht="30" x14ac:dyDescent="0.25">
      <c r="C439" s="23">
        <v>42389</v>
      </c>
      <c r="D439" s="34">
        <v>16129</v>
      </c>
      <c r="E439" s="24" t="s">
        <v>189</v>
      </c>
      <c r="F439" s="24" t="s">
        <v>601</v>
      </c>
      <c r="G439" s="25" t="s">
        <v>537</v>
      </c>
      <c r="H439" s="25" t="s">
        <v>65</v>
      </c>
      <c r="I439" s="24" t="s">
        <v>600</v>
      </c>
      <c r="J439" s="25" t="s">
        <v>70</v>
      </c>
      <c r="K439" s="24" t="s">
        <v>578</v>
      </c>
      <c r="L439" s="25" t="s">
        <v>53</v>
      </c>
      <c r="M439" s="26">
        <v>45883</v>
      </c>
    </row>
    <row r="440" spans="3:13" x14ac:dyDescent="0.25">
      <c r="C440" s="23">
        <v>42460</v>
      </c>
      <c r="D440" s="34" t="s">
        <v>415</v>
      </c>
      <c r="E440" s="24" t="s">
        <v>173</v>
      </c>
      <c r="F440" s="24" t="s">
        <v>416</v>
      </c>
      <c r="G440" s="25" t="s">
        <v>417</v>
      </c>
      <c r="H440" s="25" t="s">
        <v>65</v>
      </c>
      <c r="I440" s="24" t="s">
        <v>104</v>
      </c>
      <c r="J440" s="25" t="s">
        <v>58</v>
      </c>
      <c r="K440" s="24" t="s">
        <v>104</v>
      </c>
      <c r="L440" s="25" t="s">
        <v>53</v>
      </c>
      <c r="M440" s="26">
        <v>272875.45999999996</v>
      </c>
    </row>
    <row r="441" spans="3:13" x14ac:dyDescent="0.25">
      <c r="C441" s="23">
        <v>42460</v>
      </c>
      <c r="D441" s="34" t="s">
        <v>418</v>
      </c>
      <c r="E441" s="24" t="s">
        <v>173</v>
      </c>
      <c r="F441" s="24" t="s">
        <v>419</v>
      </c>
      <c r="G441" s="25" t="s">
        <v>417</v>
      </c>
      <c r="H441" s="25" t="s">
        <v>65</v>
      </c>
      <c r="I441" s="24" t="s">
        <v>104</v>
      </c>
      <c r="J441" s="25" t="s">
        <v>58</v>
      </c>
      <c r="K441" s="24" t="s">
        <v>104</v>
      </c>
      <c r="L441" s="25" t="s">
        <v>53</v>
      </c>
      <c r="M441" s="26">
        <v>-88550</v>
      </c>
    </row>
    <row r="442" spans="3:13" x14ac:dyDescent="0.25">
      <c r="C442" s="23">
        <v>42460</v>
      </c>
      <c r="D442" s="34" t="s">
        <v>420</v>
      </c>
      <c r="E442" s="24" t="s">
        <v>173</v>
      </c>
      <c r="F442" s="24" t="s">
        <v>421</v>
      </c>
      <c r="G442" s="25" t="s">
        <v>417</v>
      </c>
      <c r="H442" s="25" t="s">
        <v>65</v>
      </c>
      <c r="I442" s="24" t="s">
        <v>104</v>
      </c>
      <c r="J442" s="25" t="s">
        <v>58</v>
      </c>
      <c r="K442" s="24" t="s">
        <v>104</v>
      </c>
      <c r="L442" s="25" t="s">
        <v>53</v>
      </c>
      <c r="M442" s="26">
        <v>49900</v>
      </c>
    </row>
    <row r="443" spans="3:13" x14ac:dyDescent="0.25">
      <c r="C443" s="23">
        <v>42460</v>
      </c>
      <c r="D443" s="34" t="s">
        <v>422</v>
      </c>
      <c r="E443" s="24" t="s">
        <v>173</v>
      </c>
      <c r="F443" s="24" t="s">
        <v>423</v>
      </c>
      <c r="G443" s="25" t="s">
        <v>417</v>
      </c>
      <c r="H443" s="25" t="s">
        <v>65</v>
      </c>
      <c r="I443" s="24" t="s">
        <v>104</v>
      </c>
      <c r="J443" s="25" t="s">
        <v>58</v>
      </c>
      <c r="K443" s="24" t="s">
        <v>104</v>
      </c>
      <c r="L443" s="25" t="s">
        <v>53</v>
      </c>
      <c r="M443" s="26">
        <v>1250</v>
      </c>
    </row>
    <row r="444" spans="3:13" x14ac:dyDescent="0.25">
      <c r="C444" s="23">
        <v>42460</v>
      </c>
      <c r="D444" s="34" t="s">
        <v>424</v>
      </c>
      <c r="E444" s="24" t="s">
        <v>173</v>
      </c>
      <c r="F444" s="24" t="s">
        <v>425</v>
      </c>
      <c r="G444" s="25" t="s">
        <v>417</v>
      </c>
      <c r="H444" s="25" t="s">
        <v>65</v>
      </c>
      <c r="I444" s="24" t="s">
        <v>104</v>
      </c>
      <c r="J444" s="25" t="s">
        <v>58</v>
      </c>
      <c r="K444" s="24" t="s">
        <v>104</v>
      </c>
      <c r="L444" s="25" t="s">
        <v>53</v>
      </c>
      <c r="M444" s="26">
        <v>-24245</v>
      </c>
    </row>
    <row r="445" spans="3:13" x14ac:dyDescent="0.25">
      <c r="C445" s="23">
        <v>42460</v>
      </c>
      <c r="D445" s="34" t="s">
        <v>427</v>
      </c>
      <c r="E445" s="24" t="s">
        <v>121</v>
      </c>
      <c r="F445" s="24" t="s">
        <v>428</v>
      </c>
      <c r="G445" s="25" t="s">
        <v>429</v>
      </c>
      <c r="H445" s="25" t="s">
        <v>65</v>
      </c>
      <c r="I445" s="24" t="s">
        <v>104</v>
      </c>
      <c r="J445" s="25" t="s">
        <v>58</v>
      </c>
      <c r="K445" s="24" t="s">
        <v>104</v>
      </c>
      <c r="L445" s="25" t="s">
        <v>53</v>
      </c>
      <c r="M445" s="26">
        <v>86880</v>
      </c>
    </row>
    <row r="446" spans="3:13" ht="30" x14ac:dyDescent="0.25">
      <c r="C446" s="23">
        <v>42475</v>
      </c>
      <c r="D446" s="34">
        <v>16164</v>
      </c>
      <c r="E446" s="24" t="s">
        <v>149</v>
      </c>
      <c r="F446" s="24" t="s">
        <v>678</v>
      </c>
      <c r="G446" s="25" t="s">
        <v>429</v>
      </c>
      <c r="H446" s="25" t="s">
        <v>65</v>
      </c>
      <c r="I446" s="24" t="s">
        <v>679</v>
      </c>
      <c r="J446" s="25" t="s">
        <v>62</v>
      </c>
      <c r="K446" s="24" t="s">
        <v>111</v>
      </c>
      <c r="L446" s="25" t="s">
        <v>52</v>
      </c>
      <c r="M446" s="26">
        <v>651823</v>
      </c>
    </row>
    <row r="447" spans="3:13" x14ac:dyDescent="0.25">
      <c r="C447" s="29">
        <v>42551</v>
      </c>
      <c r="D447" s="34" t="s">
        <v>415</v>
      </c>
      <c r="E447" s="24" t="s">
        <v>173</v>
      </c>
      <c r="F447" s="24" t="s">
        <v>735</v>
      </c>
      <c r="G447" s="25" t="s">
        <v>417</v>
      </c>
      <c r="H447" s="25" t="s">
        <v>65</v>
      </c>
      <c r="I447" s="16" t="s">
        <v>104</v>
      </c>
      <c r="J447" s="28" t="s">
        <v>58</v>
      </c>
      <c r="K447" s="16" t="s">
        <v>104</v>
      </c>
      <c r="L447" s="25" t="s">
        <v>53</v>
      </c>
      <c r="M447" s="26">
        <v>400003</v>
      </c>
    </row>
    <row r="448" spans="3:13" x14ac:dyDescent="0.25">
      <c r="C448" s="29">
        <v>42551</v>
      </c>
      <c r="D448" s="34" t="s">
        <v>420</v>
      </c>
      <c r="E448" s="24" t="s">
        <v>173</v>
      </c>
      <c r="F448" s="24" t="s">
        <v>735</v>
      </c>
      <c r="G448" s="25" t="s">
        <v>417</v>
      </c>
      <c r="H448" s="25" t="s">
        <v>65</v>
      </c>
      <c r="I448" s="16" t="s">
        <v>104</v>
      </c>
      <c r="J448" s="28" t="s">
        <v>58</v>
      </c>
      <c r="K448" s="16" t="s">
        <v>104</v>
      </c>
      <c r="L448" s="25" t="s">
        <v>53</v>
      </c>
      <c r="M448" s="26">
        <v>11700</v>
      </c>
    </row>
    <row r="449" spans="1:13" x14ac:dyDescent="0.25">
      <c r="C449" s="29">
        <v>42551</v>
      </c>
      <c r="D449" s="34" t="s">
        <v>422</v>
      </c>
      <c r="E449" s="24" t="s">
        <v>173</v>
      </c>
      <c r="F449" s="24" t="s">
        <v>735</v>
      </c>
      <c r="G449" s="25" t="s">
        <v>417</v>
      </c>
      <c r="H449" s="25" t="s">
        <v>65</v>
      </c>
      <c r="I449" s="16" t="s">
        <v>104</v>
      </c>
      <c r="J449" s="28" t="s">
        <v>58</v>
      </c>
      <c r="K449" s="16" t="s">
        <v>104</v>
      </c>
      <c r="L449" s="25" t="s">
        <v>53</v>
      </c>
      <c r="M449" s="26">
        <v>21090</v>
      </c>
    </row>
    <row r="450" spans="1:13" x14ac:dyDescent="0.25">
      <c r="C450" s="29">
        <v>42551</v>
      </c>
      <c r="D450" s="34" t="s">
        <v>427</v>
      </c>
      <c r="E450" s="24" t="s">
        <v>121</v>
      </c>
      <c r="F450" s="24" t="s">
        <v>735</v>
      </c>
      <c r="G450" s="25" t="s">
        <v>429</v>
      </c>
      <c r="H450" s="25" t="s">
        <v>65</v>
      </c>
      <c r="I450" s="16" t="s">
        <v>104</v>
      </c>
      <c r="J450" s="28" t="s">
        <v>58</v>
      </c>
      <c r="K450" s="16" t="s">
        <v>104</v>
      </c>
      <c r="L450" s="25" t="s">
        <v>53</v>
      </c>
      <c r="M450" s="26">
        <v>112781.15</v>
      </c>
    </row>
    <row r="451" spans="1:13" x14ac:dyDescent="0.25">
      <c r="C451" s="70"/>
      <c r="D451" s="71"/>
      <c r="E451" s="72"/>
      <c r="F451" s="56"/>
      <c r="G451" s="68"/>
      <c r="H451" s="68"/>
      <c r="I451" s="56"/>
      <c r="J451" s="68"/>
      <c r="K451" s="36"/>
      <c r="L451" s="68"/>
      <c r="M451" s="86"/>
    </row>
    <row r="452" spans="1:13" ht="21" x14ac:dyDescent="0.25">
      <c r="A452" s="58"/>
      <c r="B452" s="59" t="s">
        <v>15</v>
      </c>
      <c r="C452" s="60"/>
      <c r="D452" s="61"/>
      <c r="E452" s="62"/>
      <c r="F452" s="63"/>
      <c r="G452" s="64"/>
      <c r="H452" s="64"/>
      <c r="I452" s="65" t="s">
        <v>1</v>
      </c>
      <c r="J452" s="64">
        <f>COUNT(M454:M473)</f>
        <v>19</v>
      </c>
      <c r="K452" s="81"/>
      <c r="L452" s="66" t="s">
        <v>0</v>
      </c>
      <c r="M452" s="67">
        <f>SUM(M454:M473)</f>
        <v>10904946.219999997</v>
      </c>
    </row>
    <row r="453" spans="1:13" ht="37.5" x14ac:dyDescent="0.25">
      <c r="A453" s="80"/>
      <c r="B453" s="80"/>
      <c r="C453" s="47" t="s">
        <v>2</v>
      </c>
      <c r="D453" s="48" t="s">
        <v>3</v>
      </c>
      <c r="E453" s="49" t="s">
        <v>4</v>
      </c>
      <c r="F453" s="50" t="s">
        <v>5</v>
      </c>
      <c r="G453" s="51" t="s">
        <v>6</v>
      </c>
      <c r="H453" s="51" t="s">
        <v>7</v>
      </c>
      <c r="I453" s="50" t="s">
        <v>8</v>
      </c>
      <c r="J453" s="50" t="s">
        <v>9</v>
      </c>
      <c r="K453" s="50" t="s">
        <v>10</v>
      </c>
      <c r="L453" s="51" t="s">
        <v>11</v>
      </c>
      <c r="M453" s="52" t="s">
        <v>12</v>
      </c>
    </row>
    <row r="454" spans="1:13" ht="30" x14ac:dyDescent="0.25">
      <c r="C454" s="54">
        <v>42191</v>
      </c>
      <c r="D454" s="9">
        <v>16004</v>
      </c>
      <c r="E454" s="56" t="s">
        <v>107</v>
      </c>
      <c r="F454" s="56" t="s">
        <v>231</v>
      </c>
      <c r="G454" s="57" t="s">
        <v>64</v>
      </c>
      <c r="H454" s="68" t="s">
        <v>65</v>
      </c>
      <c r="I454" s="56" t="s">
        <v>232</v>
      </c>
      <c r="J454" s="68" t="s">
        <v>57</v>
      </c>
      <c r="K454" s="56" t="s">
        <v>104</v>
      </c>
      <c r="L454" s="85" t="s">
        <v>207</v>
      </c>
      <c r="M454" s="69">
        <v>99257</v>
      </c>
    </row>
    <row r="455" spans="1:13" x14ac:dyDescent="0.25">
      <c r="C455" s="29">
        <v>42277</v>
      </c>
      <c r="D455" s="33" t="s">
        <v>411</v>
      </c>
      <c r="E455" s="16" t="s">
        <v>107</v>
      </c>
      <c r="F455" s="16" t="s">
        <v>412</v>
      </c>
      <c r="G455" s="28" t="s">
        <v>64</v>
      </c>
      <c r="H455" s="28" t="s">
        <v>65</v>
      </c>
      <c r="I455" s="16" t="s">
        <v>104</v>
      </c>
      <c r="J455" s="28" t="s">
        <v>58</v>
      </c>
      <c r="K455" s="16" t="s">
        <v>104</v>
      </c>
      <c r="L455" s="28" t="s">
        <v>53</v>
      </c>
      <c r="M455" s="31">
        <v>13866.2</v>
      </c>
    </row>
    <row r="456" spans="1:13" ht="45" x14ac:dyDescent="0.25">
      <c r="C456" s="29">
        <v>42272</v>
      </c>
      <c r="D456" s="33">
        <v>16053</v>
      </c>
      <c r="E456" s="16" t="s">
        <v>329</v>
      </c>
      <c r="F456" s="16" t="s">
        <v>330</v>
      </c>
      <c r="G456" s="28" t="s">
        <v>64</v>
      </c>
      <c r="H456" s="28" t="s">
        <v>65</v>
      </c>
      <c r="I456" s="16" t="s">
        <v>331</v>
      </c>
      <c r="J456" s="28" t="s">
        <v>62</v>
      </c>
      <c r="K456" s="16" t="s">
        <v>104</v>
      </c>
      <c r="L456" s="28" t="s">
        <v>207</v>
      </c>
      <c r="M456" s="31">
        <v>9999437</v>
      </c>
    </row>
    <row r="457" spans="1:13" x14ac:dyDescent="0.25">
      <c r="C457" s="12">
        <v>42300</v>
      </c>
      <c r="D457" s="32">
        <v>16078</v>
      </c>
      <c r="E457" s="13" t="s">
        <v>107</v>
      </c>
      <c r="F457" s="13" t="s">
        <v>459</v>
      </c>
      <c r="G457" s="14" t="s">
        <v>64</v>
      </c>
      <c r="H457" s="14" t="s">
        <v>65</v>
      </c>
      <c r="I457" s="13" t="s">
        <v>460</v>
      </c>
      <c r="J457" s="14" t="s">
        <v>57</v>
      </c>
      <c r="K457" s="13" t="s">
        <v>104</v>
      </c>
      <c r="L457" s="14" t="s">
        <v>198</v>
      </c>
      <c r="M457" s="15">
        <f>21764/2</f>
        <v>10882</v>
      </c>
    </row>
    <row r="458" spans="1:13" x14ac:dyDescent="0.25">
      <c r="C458" s="12">
        <v>42303</v>
      </c>
      <c r="D458" s="32">
        <v>16082</v>
      </c>
      <c r="E458" s="13" t="s">
        <v>107</v>
      </c>
      <c r="F458" s="13" t="s">
        <v>461</v>
      </c>
      <c r="G458" s="14" t="s">
        <v>64</v>
      </c>
      <c r="H458" s="14" t="s">
        <v>65</v>
      </c>
      <c r="I458" s="13" t="s">
        <v>462</v>
      </c>
      <c r="J458" s="14" t="s">
        <v>57</v>
      </c>
      <c r="K458" s="13" t="s">
        <v>104</v>
      </c>
      <c r="L458" s="14" t="s">
        <v>198</v>
      </c>
      <c r="M458" s="15">
        <f>15000/3</f>
        <v>5000</v>
      </c>
    </row>
    <row r="459" spans="1:13" x14ac:dyDescent="0.25">
      <c r="C459" s="12">
        <v>42300</v>
      </c>
      <c r="D459" s="32">
        <v>16078</v>
      </c>
      <c r="E459" s="13" t="s">
        <v>106</v>
      </c>
      <c r="F459" s="13" t="s">
        <v>459</v>
      </c>
      <c r="G459" s="14" t="s">
        <v>64</v>
      </c>
      <c r="H459" s="14" t="s">
        <v>65</v>
      </c>
      <c r="I459" s="13" t="s">
        <v>460</v>
      </c>
      <c r="J459" s="14" t="s">
        <v>57</v>
      </c>
      <c r="K459" s="13" t="s">
        <v>104</v>
      </c>
      <c r="L459" s="14" t="s">
        <v>198</v>
      </c>
      <c r="M459" s="15">
        <f>21764/2</f>
        <v>10882</v>
      </c>
    </row>
    <row r="460" spans="1:13" x14ac:dyDescent="0.25">
      <c r="C460" s="12">
        <v>42303</v>
      </c>
      <c r="D460" s="32">
        <v>16082</v>
      </c>
      <c r="E460" s="13" t="s">
        <v>106</v>
      </c>
      <c r="F460" s="13" t="s">
        <v>461</v>
      </c>
      <c r="G460" s="14" t="s">
        <v>64</v>
      </c>
      <c r="H460" s="14" t="s">
        <v>65</v>
      </c>
      <c r="I460" s="13" t="s">
        <v>462</v>
      </c>
      <c r="J460" s="14" t="s">
        <v>57</v>
      </c>
      <c r="K460" s="13" t="s">
        <v>104</v>
      </c>
      <c r="L460" s="14" t="s">
        <v>198</v>
      </c>
      <c r="M460" s="15">
        <f>15000/3</f>
        <v>5000</v>
      </c>
    </row>
    <row r="461" spans="1:13" x14ac:dyDescent="0.25">
      <c r="C461" s="12">
        <v>42303</v>
      </c>
      <c r="D461" s="32">
        <v>16082</v>
      </c>
      <c r="E461" s="13" t="s">
        <v>206</v>
      </c>
      <c r="F461" s="13" t="s">
        <v>461</v>
      </c>
      <c r="G461" s="14" t="s">
        <v>64</v>
      </c>
      <c r="H461" s="14" t="s">
        <v>65</v>
      </c>
      <c r="I461" s="13" t="s">
        <v>462</v>
      </c>
      <c r="J461" s="14" t="s">
        <v>57</v>
      </c>
      <c r="K461" s="13" t="s">
        <v>104</v>
      </c>
      <c r="L461" s="14" t="s">
        <v>198</v>
      </c>
      <c r="M461" s="15">
        <f>15000/3</f>
        <v>5000</v>
      </c>
    </row>
    <row r="462" spans="1:13" x14ac:dyDescent="0.25">
      <c r="C462" s="12">
        <v>42306</v>
      </c>
      <c r="D462" s="32">
        <v>16076</v>
      </c>
      <c r="E462" s="13" t="s">
        <v>466</v>
      </c>
      <c r="F462" s="13" t="s">
        <v>464</v>
      </c>
      <c r="G462" s="14" t="s">
        <v>64</v>
      </c>
      <c r="H462" s="14" t="s">
        <v>65</v>
      </c>
      <c r="I462" s="13" t="s">
        <v>75</v>
      </c>
      <c r="J462" s="14" t="s">
        <v>62</v>
      </c>
      <c r="K462" s="13" t="s">
        <v>104</v>
      </c>
      <c r="L462" s="14" t="s">
        <v>198</v>
      </c>
      <c r="M462" s="15">
        <f>554374*60%</f>
        <v>332624.39999999997</v>
      </c>
    </row>
    <row r="463" spans="1:13" ht="30" x14ac:dyDescent="0.25">
      <c r="C463" s="23">
        <v>42321</v>
      </c>
      <c r="D463" s="34">
        <v>16100</v>
      </c>
      <c r="E463" s="24" t="s">
        <v>466</v>
      </c>
      <c r="F463" s="24" t="s">
        <v>531</v>
      </c>
      <c r="G463" s="25" t="s">
        <v>64</v>
      </c>
      <c r="H463" s="25" t="s">
        <v>65</v>
      </c>
      <c r="I463" s="24" t="s">
        <v>75</v>
      </c>
      <c r="J463" s="25" t="s">
        <v>62</v>
      </c>
      <c r="K463" s="24" t="s">
        <v>104</v>
      </c>
      <c r="L463" s="25" t="s">
        <v>198</v>
      </c>
      <c r="M463" s="26">
        <f>499346*60%</f>
        <v>299607.59999999998</v>
      </c>
    </row>
    <row r="464" spans="1:13" x14ac:dyDescent="0.25">
      <c r="C464" s="23">
        <v>42369</v>
      </c>
      <c r="D464" s="34" t="s">
        <v>411</v>
      </c>
      <c r="E464" s="24" t="s">
        <v>107</v>
      </c>
      <c r="F464" s="24" t="s">
        <v>412</v>
      </c>
      <c r="G464" s="25" t="s">
        <v>64</v>
      </c>
      <c r="H464" s="25" t="s">
        <v>65</v>
      </c>
      <c r="I464" s="24" t="s">
        <v>104</v>
      </c>
      <c r="J464" s="25" t="s">
        <v>58</v>
      </c>
      <c r="K464" s="24" t="s">
        <v>104</v>
      </c>
      <c r="L464" s="25" t="s">
        <v>53</v>
      </c>
      <c r="M464" s="26">
        <v>35065.199999999997</v>
      </c>
    </row>
    <row r="465" spans="1:13" x14ac:dyDescent="0.25">
      <c r="C465" s="23">
        <v>42432</v>
      </c>
      <c r="D465" s="34">
        <v>16148</v>
      </c>
      <c r="E465" s="24" t="s">
        <v>107</v>
      </c>
      <c r="F465" s="74" t="s">
        <v>650</v>
      </c>
      <c r="G465" s="25" t="s">
        <v>64</v>
      </c>
      <c r="H465" s="25" t="s">
        <v>65</v>
      </c>
      <c r="I465" s="24" t="s">
        <v>462</v>
      </c>
      <c r="J465" s="25" t="s">
        <v>57</v>
      </c>
      <c r="K465" s="24" t="s">
        <v>104</v>
      </c>
      <c r="L465" s="25" t="s">
        <v>198</v>
      </c>
      <c r="M465" s="26">
        <v>13587</v>
      </c>
    </row>
    <row r="466" spans="1:13" x14ac:dyDescent="0.25">
      <c r="C466" s="23">
        <v>42460</v>
      </c>
      <c r="D466" s="34" t="s">
        <v>411</v>
      </c>
      <c r="E466" s="24" t="s">
        <v>107</v>
      </c>
      <c r="F466" s="24" t="s">
        <v>412</v>
      </c>
      <c r="G466" s="25" t="s">
        <v>64</v>
      </c>
      <c r="H466" s="25" t="s">
        <v>65</v>
      </c>
      <c r="I466" s="24" t="s">
        <v>104</v>
      </c>
      <c r="J466" s="25" t="s">
        <v>58</v>
      </c>
      <c r="K466" s="24" t="s">
        <v>104</v>
      </c>
      <c r="L466" s="25" t="s">
        <v>53</v>
      </c>
      <c r="M466" s="26">
        <v>15067.82</v>
      </c>
    </row>
    <row r="467" spans="1:13" x14ac:dyDescent="0.25">
      <c r="C467" s="23">
        <v>42432</v>
      </c>
      <c r="D467" s="34">
        <v>16148</v>
      </c>
      <c r="E467" s="24" t="s">
        <v>106</v>
      </c>
      <c r="F467" s="24" t="s">
        <v>650</v>
      </c>
      <c r="G467" s="25" t="s">
        <v>64</v>
      </c>
      <c r="H467" s="25" t="s">
        <v>65</v>
      </c>
      <c r="I467" s="24" t="s">
        <v>462</v>
      </c>
      <c r="J467" s="25" t="s">
        <v>57</v>
      </c>
      <c r="K467" s="24" t="s">
        <v>104</v>
      </c>
      <c r="L467" s="25" t="s">
        <v>198</v>
      </c>
      <c r="M467" s="26">
        <v>13188</v>
      </c>
    </row>
    <row r="468" spans="1:13" x14ac:dyDescent="0.25">
      <c r="C468" s="23">
        <v>42432</v>
      </c>
      <c r="D468" s="34">
        <v>16148</v>
      </c>
      <c r="E468" s="24" t="s">
        <v>206</v>
      </c>
      <c r="F468" s="24" t="s">
        <v>650</v>
      </c>
      <c r="G468" s="25" t="s">
        <v>64</v>
      </c>
      <c r="H468" s="25" t="s">
        <v>65</v>
      </c>
      <c r="I468" s="24" t="s">
        <v>462</v>
      </c>
      <c r="J468" s="25" t="s">
        <v>57</v>
      </c>
      <c r="K468" s="24" t="s">
        <v>104</v>
      </c>
      <c r="L468" s="25" t="s">
        <v>198</v>
      </c>
      <c r="M468" s="26">
        <v>13187</v>
      </c>
    </row>
    <row r="469" spans="1:13" ht="30" x14ac:dyDescent="0.25">
      <c r="C469" s="29">
        <v>42529</v>
      </c>
      <c r="D469" s="33">
        <v>16082</v>
      </c>
      <c r="E469" s="16" t="s">
        <v>107</v>
      </c>
      <c r="F469" s="16" t="s">
        <v>461</v>
      </c>
      <c r="G469" s="28" t="s">
        <v>64</v>
      </c>
      <c r="H469" s="28" t="s">
        <v>65</v>
      </c>
      <c r="I469" s="16" t="s">
        <v>569</v>
      </c>
      <c r="J469" s="28" t="s">
        <v>57</v>
      </c>
      <c r="K469" s="16" t="s">
        <v>462</v>
      </c>
      <c r="L469" s="28" t="s">
        <v>198</v>
      </c>
      <c r="M469" s="31">
        <f>18500/3</f>
        <v>6166.666666666667</v>
      </c>
    </row>
    <row r="470" spans="1:13" ht="30" x14ac:dyDescent="0.25">
      <c r="C470" s="29">
        <v>42529</v>
      </c>
      <c r="D470" s="33">
        <v>16082</v>
      </c>
      <c r="E470" s="16" t="s">
        <v>106</v>
      </c>
      <c r="F470" s="16" t="s">
        <v>461</v>
      </c>
      <c r="G470" s="28" t="s">
        <v>64</v>
      </c>
      <c r="H470" s="28" t="s">
        <v>65</v>
      </c>
      <c r="I470" s="16" t="s">
        <v>569</v>
      </c>
      <c r="J470" s="28" t="s">
        <v>57</v>
      </c>
      <c r="K470" s="16" t="s">
        <v>462</v>
      </c>
      <c r="L470" s="28" t="s">
        <v>198</v>
      </c>
      <c r="M470" s="31">
        <f>18500/3</f>
        <v>6166.666666666667</v>
      </c>
    </row>
    <row r="471" spans="1:13" ht="30" x14ac:dyDescent="0.25">
      <c r="C471" s="29">
        <v>42529</v>
      </c>
      <c r="D471" s="33">
        <v>16082</v>
      </c>
      <c r="E471" s="16" t="s">
        <v>206</v>
      </c>
      <c r="F471" s="16" t="s">
        <v>461</v>
      </c>
      <c r="G471" s="28" t="s">
        <v>64</v>
      </c>
      <c r="H471" s="28" t="s">
        <v>65</v>
      </c>
      <c r="I471" s="16" t="s">
        <v>569</v>
      </c>
      <c r="J471" s="28" t="s">
        <v>57</v>
      </c>
      <c r="K471" s="16" t="s">
        <v>462</v>
      </c>
      <c r="L471" s="28" t="s">
        <v>198</v>
      </c>
      <c r="M471" s="31">
        <f>18500/3</f>
        <v>6166.666666666667</v>
      </c>
    </row>
    <row r="472" spans="1:13" x14ac:dyDescent="0.25">
      <c r="C472" s="29">
        <v>42551</v>
      </c>
      <c r="D472" s="34" t="s">
        <v>411</v>
      </c>
      <c r="E472" s="24" t="s">
        <v>107</v>
      </c>
      <c r="F472" s="24" t="s">
        <v>735</v>
      </c>
      <c r="G472" s="25" t="s">
        <v>64</v>
      </c>
      <c r="H472" s="25" t="s">
        <v>65</v>
      </c>
      <c r="I472" s="16" t="s">
        <v>104</v>
      </c>
      <c r="J472" s="28" t="s">
        <v>58</v>
      </c>
      <c r="K472" s="16" t="s">
        <v>104</v>
      </c>
      <c r="L472" s="25" t="s">
        <v>53</v>
      </c>
      <c r="M472" s="26">
        <v>14795</v>
      </c>
    </row>
    <row r="473" spans="1:13" x14ac:dyDescent="0.25">
      <c r="C473" s="70"/>
      <c r="D473" s="71"/>
      <c r="E473" s="36"/>
      <c r="F473" s="56"/>
      <c r="G473" s="68"/>
      <c r="H473" s="68"/>
      <c r="I473" s="36"/>
      <c r="J473" s="68"/>
      <c r="K473" s="87"/>
      <c r="L473" s="68"/>
      <c r="M473" s="86"/>
    </row>
    <row r="474" spans="1:13" ht="21" x14ac:dyDescent="0.25">
      <c r="A474" s="58"/>
      <c r="B474" s="59" t="s">
        <v>17</v>
      </c>
      <c r="C474" s="60"/>
      <c r="D474" s="61"/>
      <c r="E474" s="62"/>
      <c r="F474" s="63"/>
      <c r="G474" s="64"/>
      <c r="H474" s="64"/>
      <c r="I474" s="65" t="s">
        <v>1</v>
      </c>
      <c r="J474" s="64">
        <f>COUNT(M476:M489)</f>
        <v>13</v>
      </c>
      <c r="K474" s="81"/>
      <c r="L474" s="66" t="s">
        <v>0</v>
      </c>
      <c r="M474" s="67">
        <f>SUM(M476:M489)</f>
        <v>234464.11000000002</v>
      </c>
    </row>
    <row r="475" spans="1:13" ht="37.5" x14ac:dyDescent="0.25">
      <c r="A475" s="80"/>
      <c r="B475" s="80"/>
      <c r="C475" s="47" t="s">
        <v>2</v>
      </c>
      <c r="D475" s="48" t="s">
        <v>3</v>
      </c>
      <c r="E475" s="49" t="s">
        <v>4</v>
      </c>
      <c r="F475" s="50" t="s">
        <v>5</v>
      </c>
      <c r="G475" s="51" t="s">
        <v>6</v>
      </c>
      <c r="H475" s="51" t="s">
        <v>7</v>
      </c>
      <c r="I475" s="50" t="s">
        <v>8</v>
      </c>
      <c r="J475" s="50" t="s">
        <v>9</v>
      </c>
      <c r="K475" s="50" t="s">
        <v>10</v>
      </c>
      <c r="L475" s="51" t="s">
        <v>11</v>
      </c>
      <c r="M475" s="52" t="s">
        <v>12</v>
      </c>
    </row>
    <row r="476" spans="1:13" ht="30" x14ac:dyDescent="0.25">
      <c r="C476" s="54">
        <v>42237</v>
      </c>
      <c r="D476" s="9">
        <v>16029</v>
      </c>
      <c r="E476" s="56" t="s">
        <v>136</v>
      </c>
      <c r="F476" s="56" t="s">
        <v>271</v>
      </c>
      <c r="G476" s="57" t="s">
        <v>137</v>
      </c>
      <c r="H476" s="68" t="s">
        <v>65</v>
      </c>
      <c r="I476" s="56" t="s">
        <v>272</v>
      </c>
      <c r="J476" s="68" t="s">
        <v>57</v>
      </c>
      <c r="K476" s="56" t="s">
        <v>104</v>
      </c>
      <c r="L476" s="85" t="s">
        <v>197</v>
      </c>
      <c r="M476" s="69">
        <v>10267</v>
      </c>
    </row>
    <row r="477" spans="1:13" x14ac:dyDescent="0.25">
      <c r="C477" s="29">
        <v>42277</v>
      </c>
      <c r="D477" s="33" t="s">
        <v>413</v>
      </c>
      <c r="E477" s="16" t="s">
        <v>136</v>
      </c>
      <c r="F477" s="16" t="s">
        <v>414</v>
      </c>
      <c r="G477" s="28" t="s">
        <v>137</v>
      </c>
      <c r="H477" s="28" t="s">
        <v>65</v>
      </c>
      <c r="I477" s="16" t="s">
        <v>104</v>
      </c>
      <c r="J477" s="28" t="s">
        <v>58</v>
      </c>
      <c r="K477" s="16" t="s">
        <v>104</v>
      </c>
      <c r="L477" s="28" t="s">
        <v>53</v>
      </c>
      <c r="M477" s="31">
        <v>2224.65</v>
      </c>
    </row>
    <row r="478" spans="1:13" ht="30" x14ac:dyDescent="0.25">
      <c r="C478" s="23">
        <v>42312</v>
      </c>
      <c r="D478" s="34">
        <v>16081</v>
      </c>
      <c r="E478" s="24" t="s">
        <v>136</v>
      </c>
      <c r="F478" s="24" t="s">
        <v>510</v>
      </c>
      <c r="G478" s="25" t="s">
        <v>137</v>
      </c>
      <c r="H478" s="25" t="s">
        <v>65</v>
      </c>
      <c r="I478" s="24" t="s">
        <v>511</v>
      </c>
      <c r="J478" s="25" t="s">
        <v>57</v>
      </c>
      <c r="K478" s="24" t="s">
        <v>104</v>
      </c>
      <c r="L478" s="25" t="s">
        <v>198</v>
      </c>
      <c r="M478" s="26">
        <v>30219</v>
      </c>
    </row>
    <row r="479" spans="1:13" ht="45" x14ac:dyDescent="0.25">
      <c r="C479" s="23">
        <v>42312</v>
      </c>
      <c r="D479" s="34">
        <v>16083</v>
      </c>
      <c r="E479" s="24" t="s">
        <v>136</v>
      </c>
      <c r="F479" s="24" t="s">
        <v>512</v>
      </c>
      <c r="G479" s="25" t="s">
        <v>137</v>
      </c>
      <c r="H479" s="25" t="s">
        <v>65</v>
      </c>
      <c r="I479" s="24" t="s">
        <v>272</v>
      </c>
      <c r="J479" s="25" t="s">
        <v>57</v>
      </c>
      <c r="K479" s="24" t="s">
        <v>104</v>
      </c>
      <c r="L479" s="25" t="s">
        <v>197</v>
      </c>
      <c r="M479" s="26">
        <v>24264</v>
      </c>
    </row>
    <row r="480" spans="1:13" x14ac:dyDescent="0.25">
      <c r="C480" s="23">
        <v>42369</v>
      </c>
      <c r="D480" s="34" t="s">
        <v>413</v>
      </c>
      <c r="E480" s="24" t="s">
        <v>136</v>
      </c>
      <c r="F480" s="24" t="s">
        <v>414</v>
      </c>
      <c r="G480" s="25" t="s">
        <v>137</v>
      </c>
      <c r="H480" s="25" t="s">
        <v>65</v>
      </c>
      <c r="I480" s="24" t="s">
        <v>104</v>
      </c>
      <c r="J480" s="25" t="s">
        <v>58</v>
      </c>
      <c r="K480" s="24" t="s">
        <v>104</v>
      </c>
      <c r="L480" s="25" t="s">
        <v>53</v>
      </c>
      <c r="M480" s="26">
        <v>343.23</v>
      </c>
    </row>
    <row r="481" spans="1:13" ht="30" x14ac:dyDescent="0.25">
      <c r="C481" s="23">
        <v>42384</v>
      </c>
      <c r="D481" s="34">
        <v>16121</v>
      </c>
      <c r="E481" s="24" t="s">
        <v>136</v>
      </c>
      <c r="F481" s="24" t="s">
        <v>594</v>
      </c>
      <c r="G481" s="25" t="s">
        <v>137</v>
      </c>
      <c r="H481" s="25" t="s">
        <v>65</v>
      </c>
      <c r="I481" s="24" t="s">
        <v>595</v>
      </c>
      <c r="J481" s="25" t="s">
        <v>57</v>
      </c>
      <c r="K481" s="24" t="s">
        <v>104</v>
      </c>
      <c r="L481" s="25" t="s">
        <v>198</v>
      </c>
      <c r="M481" s="26">
        <v>10116</v>
      </c>
    </row>
    <row r="482" spans="1:13" ht="30" x14ac:dyDescent="0.25">
      <c r="C482" s="23">
        <v>42384</v>
      </c>
      <c r="D482" s="34">
        <v>16122</v>
      </c>
      <c r="E482" s="24" t="s">
        <v>136</v>
      </c>
      <c r="F482" s="24" t="s">
        <v>596</v>
      </c>
      <c r="G482" s="25" t="s">
        <v>137</v>
      </c>
      <c r="H482" s="25" t="s">
        <v>65</v>
      </c>
      <c r="I482" s="24" t="s">
        <v>211</v>
      </c>
      <c r="J482" s="25" t="s">
        <v>62</v>
      </c>
      <c r="K482" s="24" t="s">
        <v>595</v>
      </c>
      <c r="L482" s="25" t="s">
        <v>198</v>
      </c>
      <c r="M482" s="26">
        <v>15034</v>
      </c>
    </row>
    <row r="483" spans="1:13" ht="30" x14ac:dyDescent="0.25">
      <c r="C483" s="23">
        <v>42422</v>
      </c>
      <c r="D483" s="34">
        <v>16144</v>
      </c>
      <c r="E483" s="24" t="s">
        <v>136</v>
      </c>
      <c r="F483" s="24" t="s">
        <v>629</v>
      </c>
      <c r="G483" s="25" t="s">
        <v>137</v>
      </c>
      <c r="H483" s="25" t="s">
        <v>65</v>
      </c>
      <c r="I483" s="74" t="s">
        <v>630</v>
      </c>
      <c r="J483" s="25" t="s">
        <v>57</v>
      </c>
      <c r="K483" s="24" t="s">
        <v>104</v>
      </c>
      <c r="L483" s="25" t="s">
        <v>198</v>
      </c>
      <c r="M483" s="26">
        <v>57910</v>
      </c>
    </row>
    <row r="484" spans="1:13" ht="30" x14ac:dyDescent="0.25">
      <c r="C484" s="23">
        <v>42422</v>
      </c>
      <c r="D484" s="34">
        <v>16145</v>
      </c>
      <c r="E484" s="24" t="s">
        <v>136</v>
      </c>
      <c r="F484" s="24" t="s">
        <v>631</v>
      </c>
      <c r="G484" s="25" t="s">
        <v>137</v>
      </c>
      <c r="H484" s="25" t="s">
        <v>65</v>
      </c>
      <c r="I484" s="24" t="s">
        <v>630</v>
      </c>
      <c r="J484" s="25" t="s">
        <v>57</v>
      </c>
      <c r="K484" s="24" t="s">
        <v>104</v>
      </c>
      <c r="L484" s="25" t="s">
        <v>198</v>
      </c>
      <c r="M484" s="26">
        <v>33619</v>
      </c>
    </row>
    <row r="485" spans="1:13" ht="30" x14ac:dyDescent="0.25">
      <c r="C485" s="23">
        <v>42450</v>
      </c>
      <c r="D485" s="34">
        <v>16152</v>
      </c>
      <c r="E485" s="24" t="s">
        <v>136</v>
      </c>
      <c r="F485" s="24" t="s">
        <v>655</v>
      </c>
      <c r="G485" s="25" t="s">
        <v>137</v>
      </c>
      <c r="H485" s="25" t="s">
        <v>65</v>
      </c>
      <c r="I485" s="24" t="s">
        <v>656</v>
      </c>
      <c r="J485" s="25" t="s">
        <v>57</v>
      </c>
      <c r="K485" s="24" t="s">
        <v>104</v>
      </c>
      <c r="L485" s="25" t="s">
        <v>198</v>
      </c>
      <c r="M485" s="26">
        <v>18801</v>
      </c>
    </row>
    <row r="486" spans="1:13" ht="30" x14ac:dyDescent="0.25">
      <c r="C486" s="29">
        <v>42487</v>
      </c>
      <c r="D486" s="33">
        <v>16121</v>
      </c>
      <c r="E486" s="16" t="s">
        <v>136</v>
      </c>
      <c r="F486" s="16" t="s">
        <v>594</v>
      </c>
      <c r="G486" s="28" t="s">
        <v>137</v>
      </c>
      <c r="H486" s="28" t="s">
        <v>65</v>
      </c>
      <c r="I486" s="16" t="s">
        <v>595</v>
      </c>
      <c r="J486" s="28" t="s">
        <v>57</v>
      </c>
      <c r="K486" s="16" t="s">
        <v>104</v>
      </c>
      <c r="L486" s="28" t="s">
        <v>198</v>
      </c>
      <c r="M486" s="31">
        <v>2940</v>
      </c>
    </row>
    <row r="487" spans="1:13" ht="30" x14ac:dyDescent="0.25">
      <c r="C487" s="23">
        <v>42495</v>
      </c>
      <c r="D487" s="34">
        <v>16172</v>
      </c>
      <c r="E487" s="24" t="s">
        <v>136</v>
      </c>
      <c r="F487" s="24" t="s">
        <v>696</v>
      </c>
      <c r="G487" s="25" t="s">
        <v>137</v>
      </c>
      <c r="H487" s="25" t="s">
        <v>65</v>
      </c>
      <c r="I487" s="24" t="s">
        <v>511</v>
      </c>
      <c r="J487" s="25" t="s">
        <v>57</v>
      </c>
      <c r="K487" s="24" t="s">
        <v>104</v>
      </c>
      <c r="L487" s="25" t="s">
        <v>198</v>
      </c>
      <c r="M487" s="26">
        <v>24774</v>
      </c>
    </row>
    <row r="488" spans="1:13" x14ac:dyDescent="0.25">
      <c r="C488" s="29">
        <v>42551</v>
      </c>
      <c r="D488" s="34" t="s">
        <v>413</v>
      </c>
      <c r="E488" s="24" t="s">
        <v>136</v>
      </c>
      <c r="F488" s="24" t="s">
        <v>735</v>
      </c>
      <c r="G488" s="25" t="s">
        <v>137</v>
      </c>
      <c r="H488" s="25" t="s">
        <v>65</v>
      </c>
      <c r="I488" s="16" t="s">
        <v>104</v>
      </c>
      <c r="J488" s="28" t="s">
        <v>58</v>
      </c>
      <c r="K488" s="16" t="s">
        <v>104</v>
      </c>
      <c r="L488" s="25" t="s">
        <v>53</v>
      </c>
      <c r="M488" s="26">
        <v>3952.23</v>
      </c>
    </row>
    <row r="489" spans="1:13" x14ac:dyDescent="0.25">
      <c r="C489" s="70"/>
      <c r="D489" s="71"/>
      <c r="E489" s="72"/>
      <c r="F489" s="56"/>
      <c r="G489" s="68"/>
      <c r="H489" s="68"/>
      <c r="I489" s="56"/>
      <c r="J489" s="68"/>
      <c r="K489" s="36"/>
      <c r="L489" s="68"/>
      <c r="M489" s="86"/>
    </row>
    <row r="490" spans="1:13" ht="21" x14ac:dyDescent="0.25">
      <c r="A490" s="58"/>
      <c r="B490" s="59" t="s">
        <v>41</v>
      </c>
      <c r="C490" s="60"/>
      <c r="D490" s="61"/>
      <c r="E490" s="62"/>
      <c r="F490" s="63"/>
      <c r="G490" s="64"/>
      <c r="H490" s="64"/>
      <c r="I490" s="65" t="s">
        <v>1</v>
      </c>
      <c r="J490" s="64">
        <f>COUNT(M492:M496)</f>
        <v>4</v>
      </c>
      <c r="K490" s="81"/>
      <c r="L490" s="66" t="s">
        <v>0</v>
      </c>
      <c r="M490" s="67">
        <f>SUM(M492:M496)</f>
        <v>352300</v>
      </c>
    </row>
    <row r="491" spans="1:13" ht="37.5" x14ac:dyDescent="0.25">
      <c r="A491" s="80"/>
      <c r="B491" s="80"/>
      <c r="C491" s="47" t="s">
        <v>2</v>
      </c>
      <c r="D491" s="48" t="s">
        <v>3</v>
      </c>
      <c r="E491" s="49" t="s">
        <v>4</v>
      </c>
      <c r="F491" s="50" t="s">
        <v>5</v>
      </c>
      <c r="G491" s="51" t="s">
        <v>6</v>
      </c>
      <c r="H491" s="51" t="s">
        <v>7</v>
      </c>
      <c r="I491" s="50" t="s">
        <v>8</v>
      </c>
      <c r="J491" s="50" t="s">
        <v>9</v>
      </c>
      <c r="K491" s="50" t="s">
        <v>10</v>
      </c>
      <c r="L491" s="51" t="s">
        <v>11</v>
      </c>
      <c r="M491" s="52" t="s">
        <v>12</v>
      </c>
    </row>
    <row r="492" spans="1:13" ht="30" x14ac:dyDescent="0.25">
      <c r="C492" s="23">
        <v>42307</v>
      </c>
      <c r="D492" s="34" t="s">
        <v>478</v>
      </c>
      <c r="E492" s="24" t="s">
        <v>479</v>
      </c>
      <c r="F492" s="24" t="s">
        <v>480</v>
      </c>
      <c r="G492" s="25" t="s">
        <v>481</v>
      </c>
      <c r="H492" s="25" t="s">
        <v>65</v>
      </c>
      <c r="I492" s="24" t="s">
        <v>482</v>
      </c>
      <c r="J492" s="25" t="s">
        <v>55</v>
      </c>
      <c r="K492" s="24" t="s">
        <v>104</v>
      </c>
      <c r="L492" s="25" t="s">
        <v>52</v>
      </c>
      <c r="M492" s="26">
        <v>41600</v>
      </c>
    </row>
    <row r="493" spans="1:13" ht="30" x14ac:dyDescent="0.25">
      <c r="C493" s="23">
        <v>42307</v>
      </c>
      <c r="D493" s="34" t="s">
        <v>478</v>
      </c>
      <c r="E493" s="24" t="s">
        <v>479</v>
      </c>
      <c r="F493" s="24" t="s">
        <v>483</v>
      </c>
      <c r="G493" s="25" t="s">
        <v>481</v>
      </c>
      <c r="H493" s="25" t="s">
        <v>65</v>
      </c>
      <c r="I493" s="24" t="s">
        <v>484</v>
      </c>
      <c r="J493" s="25" t="s">
        <v>55</v>
      </c>
      <c r="K493" s="24" t="s">
        <v>104</v>
      </c>
      <c r="L493" s="25" t="s">
        <v>52</v>
      </c>
      <c r="M493" s="26">
        <v>9450</v>
      </c>
    </row>
    <row r="494" spans="1:13" ht="30" x14ac:dyDescent="0.25">
      <c r="C494" s="23">
        <v>42307</v>
      </c>
      <c r="D494" s="34" t="s">
        <v>478</v>
      </c>
      <c r="E494" s="24" t="s">
        <v>479</v>
      </c>
      <c r="F494" s="24" t="s">
        <v>485</v>
      </c>
      <c r="G494" s="25" t="s">
        <v>481</v>
      </c>
      <c r="H494" s="25" t="s">
        <v>65</v>
      </c>
      <c r="I494" s="24" t="s">
        <v>486</v>
      </c>
      <c r="J494" s="25" t="s">
        <v>55</v>
      </c>
      <c r="K494" s="24" t="s">
        <v>104</v>
      </c>
      <c r="L494" s="25" t="s">
        <v>52</v>
      </c>
      <c r="M494" s="26">
        <v>185500</v>
      </c>
    </row>
    <row r="495" spans="1:13" x14ac:dyDescent="0.25">
      <c r="C495" s="23">
        <v>42307</v>
      </c>
      <c r="D495" s="34" t="s">
        <v>487</v>
      </c>
      <c r="E495" s="24" t="s">
        <v>479</v>
      </c>
      <c r="F495" s="24" t="s">
        <v>194</v>
      </c>
      <c r="G495" s="25" t="s">
        <v>481</v>
      </c>
      <c r="H495" s="25" t="s">
        <v>65</v>
      </c>
      <c r="I495" s="24" t="s">
        <v>488</v>
      </c>
      <c r="J495" s="25" t="s">
        <v>55</v>
      </c>
      <c r="K495" s="24" t="s">
        <v>104</v>
      </c>
      <c r="L495" s="25" t="s">
        <v>52</v>
      </c>
      <c r="M495" s="26">
        <v>115750</v>
      </c>
    </row>
    <row r="496" spans="1:13" x14ac:dyDescent="0.25">
      <c r="C496" s="54"/>
      <c r="D496" s="9"/>
      <c r="E496" s="55"/>
      <c r="F496" s="56"/>
      <c r="G496" s="57"/>
      <c r="H496" s="57"/>
      <c r="I496" s="56"/>
      <c r="J496" s="57"/>
      <c r="K496" s="36"/>
      <c r="L496" s="57"/>
      <c r="M496" s="69"/>
    </row>
    <row r="497" spans="1:13" ht="21" x14ac:dyDescent="0.25">
      <c r="A497" s="58"/>
      <c r="B497" s="59" t="s">
        <v>42</v>
      </c>
      <c r="C497" s="60"/>
      <c r="D497" s="61"/>
      <c r="E497" s="62"/>
      <c r="F497" s="63"/>
      <c r="G497" s="64"/>
      <c r="H497" s="64"/>
      <c r="I497" s="65" t="s">
        <v>1</v>
      </c>
      <c r="J497" s="64">
        <f>COUNT(M499:M508)</f>
        <v>9</v>
      </c>
      <c r="K497" s="81"/>
      <c r="L497" s="66" t="s">
        <v>0</v>
      </c>
      <c r="M497" s="67">
        <f>SUM(M499:M508)</f>
        <v>874235</v>
      </c>
    </row>
    <row r="498" spans="1:13" ht="37.5" x14ac:dyDescent="0.25">
      <c r="A498" s="80"/>
      <c r="B498" s="80"/>
      <c r="C498" s="47" t="s">
        <v>2</v>
      </c>
      <c r="D498" s="48" t="s">
        <v>3</v>
      </c>
      <c r="E498" s="49" t="s">
        <v>4</v>
      </c>
      <c r="F498" s="50" t="s">
        <v>5</v>
      </c>
      <c r="G498" s="51" t="s">
        <v>6</v>
      </c>
      <c r="H498" s="51" t="s">
        <v>7</v>
      </c>
      <c r="I498" s="50" t="s">
        <v>8</v>
      </c>
      <c r="J498" s="50" t="s">
        <v>9</v>
      </c>
      <c r="K498" s="50" t="s">
        <v>10</v>
      </c>
      <c r="L498" s="51" t="s">
        <v>11</v>
      </c>
      <c r="M498" s="52" t="s">
        <v>12</v>
      </c>
    </row>
    <row r="499" spans="1:13" ht="30" x14ac:dyDescent="0.25">
      <c r="C499" s="29">
        <v>42251</v>
      </c>
      <c r="D499" s="33">
        <v>16052</v>
      </c>
      <c r="E499" s="16" t="s">
        <v>149</v>
      </c>
      <c r="F499" s="16" t="s">
        <v>301</v>
      </c>
      <c r="G499" s="28" t="s">
        <v>302</v>
      </c>
      <c r="H499" s="28" t="s">
        <v>65</v>
      </c>
      <c r="I499" s="16" t="s">
        <v>303</v>
      </c>
      <c r="J499" s="28" t="s">
        <v>70</v>
      </c>
      <c r="K499" s="16" t="s">
        <v>104</v>
      </c>
      <c r="L499" s="28" t="s">
        <v>53</v>
      </c>
      <c r="M499" s="31">
        <v>215334</v>
      </c>
    </row>
    <row r="500" spans="1:13" ht="30" x14ac:dyDescent="0.25">
      <c r="C500" s="29">
        <v>42277</v>
      </c>
      <c r="D500" s="33" t="s">
        <v>156</v>
      </c>
      <c r="E500" s="16" t="s">
        <v>149</v>
      </c>
      <c r="F500" s="16" t="s">
        <v>203</v>
      </c>
      <c r="G500" s="28" t="s">
        <v>302</v>
      </c>
      <c r="H500" s="28" t="s">
        <v>65</v>
      </c>
      <c r="I500" s="16" t="s">
        <v>104</v>
      </c>
      <c r="J500" s="28" t="s">
        <v>58</v>
      </c>
      <c r="K500" s="16" t="s">
        <v>104</v>
      </c>
      <c r="L500" s="28" t="s">
        <v>54</v>
      </c>
      <c r="M500" s="31">
        <v>46721</v>
      </c>
    </row>
    <row r="501" spans="1:13" ht="30" x14ac:dyDescent="0.25">
      <c r="C501" s="29">
        <v>42277</v>
      </c>
      <c r="D501" s="33" t="s">
        <v>156</v>
      </c>
      <c r="E501" s="16" t="s">
        <v>149</v>
      </c>
      <c r="F501" s="16" t="s">
        <v>426</v>
      </c>
      <c r="G501" s="28" t="s">
        <v>302</v>
      </c>
      <c r="H501" s="28" t="s">
        <v>65</v>
      </c>
      <c r="I501" s="16" t="s">
        <v>104</v>
      </c>
      <c r="J501" s="28" t="s">
        <v>58</v>
      </c>
      <c r="K501" s="16" t="s">
        <v>104</v>
      </c>
      <c r="L501" s="28" t="s">
        <v>54</v>
      </c>
      <c r="M501" s="31">
        <v>99498</v>
      </c>
    </row>
    <row r="502" spans="1:13" ht="30" x14ac:dyDescent="0.25">
      <c r="C502" s="23">
        <v>42369</v>
      </c>
      <c r="D502" s="34" t="s">
        <v>156</v>
      </c>
      <c r="E502" s="24" t="s">
        <v>149</v>
      </c>
      <c r="F502" s="24" t="s">
        <v>566</v>
      </c>
      <c r="G502" s="25" t="s">
        <v>302</v>
      </c>
      <c r="H502" s="25" t="s">
        <v>65</v>
      </c>
      <c r="I502" s="24" t="s">
        <v>104</v>
      </c>
      <c r="J502" s="25" t="s">
        <v>58</v>
      </c>
      <c r="K502" s="24" t="s">
        <v>104</v>
      </c>
      <c r="L502" s="25" t="s">
        <v>54</v>
      </c>
      <c r="M502" s="26">
        <v>101424</v>
      </c>
    </row>
    <row r="503" spans="1:13" ht="30" x14ac:dyDescent="0.25">
      <c r="C503" s="23">
        <v>42369</v>
      </c>
      <c r="D503" s="34" t="s">
        <v>156</v>
      </c>
      <c r="E503" s="24" t="s">
        <v>149</v>
      </c>
      <c r="F503" s="24" t="s">
        <v>204</v>
      </c>
      <c r="G503" s="25" t="s">
        <v>302</v>
      </c>
      <c r="H503" s="25" t="s">
        <v>65</v>
      </c>
      <c r="I503" s="24" t="s">
        <v>104</v>
      </c>
      <c r="J503" s="25" t="s">
        <v>58</v>
      </c>
      <c r="K503" s="24" t="s">
        <v>104</v>
      </c>
      <c r="L503" s="25" t="s">
        <v>54</v>
      </c>
      <c r="M503" s="26">
        <v>50277</v>
      </c>
    </row>
    <row r="504" spans="1:13" ht="30" x14ac:dyDescent="0.25">
      <c r="C504" s="23">
        <v>42460</v>
      </c>
      <c r="D504" s="34" t="s">
        <v>156</v>
      </c>
      <c r="E504" s="24" t="s">
        <v>149</v>
      </c>
      <c r="F504" s="24" t="s">
        <v>205</v>
      </c>
      <c r="G504" s="25" t="s">
        <v>302</v>
      </c>
      <c r="H504" s="25" t="s">
        <v>65</v>
      </c>
      <c r="I504" s="24" t="s">
        <v>104</v>
      </c>
      <c r="J504" s="25" t="s">
        <v>58</v>
      </c>
      <c r="K504" s="24" t="s">
        <v>104</v>
      </c>
      <c r="L504" s="25" t="s">
        <v>54</v>
      </c>
      <c r="M504" s="26">
        <v>54137</v>
      </c>
    </row>
    <row r="505" spans="1:13" ht="30" x14ac:dyDescent="0.25">
      <c r="C505" s="23">
        <v>42460</v>
      </c>
      <c r="D505" s="34" t="s">
        <v>156</v>
      </c>
      <c r="E505" s="24" t="s">
        <v>149</v>
      </c>
      <c r="F505" s="24" t="s">
        <v>202</v>
      </c>
      <c r="G505" s="25" t="s">
        <v>302</v>
      </c>
      <c r="H505" s="25" t="s">
        <v>65</v>
      </c>
      <c r="I505" s="24" t="s">
        <v>104</v>
      </c>
      <c r="J505" s="25" t="s">
        <v>58</v>
      </c>
      <c r="K505" s="24" t="s">
        <v>104</v>
      </c>
      <c r="L505" s="25" t="s">
        <v>54</v>
      </c>
      <c r="M505" s="26">
        <v>101424</v>
      </c>
    </row>
    <row r="506" spans="1:13" ht="30" x14ac:dyDescent="0.25">
      <c r="C506" s="29">
        <v>42551</v>
      </c>
      <c r="D506" s="33" t="s">
        <v>156</v>
      </c>
      <c r="E506" s="16" t="s">
        <v>149</v>
      </c>
      <c r="F506" s="16" t="s">
        <v>225</v>
      </c>
      <c r="G506" s="28" t="s">
        <v>302</v>
      </c>
      <c r="H506" s="28" t="s">
        <v>65</v>
      </c>
      <c r="I506" s="16" t="s">
        <v>104</v>
      </c>
      <c r="J506" s="28" t="s">
        <v>58</v>
      </c>
      <c r="K506" s="16" t="s">
        <v>104</v>
      </c>
      <c r="L506" s="28" t="s">
        <v>54</v>
      </c>
      <c r="M506" s="31">
        <v>52719</v>
      </c>
    </row>
    <row r="507" spans="1:13" ht="30" x14ac:dyDescent="0.25">
      <c r="C507" s="29">
        <v>42551</v>
      </c>
      <c r="D507" s="33" t="s">
        <v>156</v>
      </c>
      <c r="E507" s="16" t="s">
        <v>149</v>
      </c>
      <c r="F507" s="16" t="s">
        <v>224</v>
      </c>
      <c r="G507" s="28" t="s">
        <v>302</v>
      </c>
      <c r="H507" s="28" t="s">
        <v>65</v>
      </c>
      <c r="I507" s="16" t="s">
        <v>104</v>
      </c>
      <c r="J507" s="28" t="s">
        <v>58</v>
      </c>
      <c r="K507" s="16" t="s">
        <v>104</v>
      </c>
      <c r="L507" s="28" t="s">
        <v>54</v>
      </c>
      <c r="M507" s="31">
        <v>152701</v>
      </c>
    </row>
    <row r="508" spans="1:13" x14ac:dyDescent="0.25">
      <c r="C508" s="29"/>
      <c r="D508" s="30"/>
      <c r="E508" s="16"/>
      <c r="F508" s="16"/>
      <c r="G508" s="28"/>
      <c r="H508" s="28"/>
      <c r="I508" s="16"/>
      <c r="J508" s="28"/>
      <c r="K508" s="16"/>
      <c r="L508" s="28"/>
      <c r="M508" s="31"/>
    </row>
    <row r="509" spans="1:13" ht="21" x14ac:dyDescent="0.25">
      <c r="A509" s="58"/>
      <c r="B509" s="59" t="s">
        <v>50</v>
      </c>
      <c r="C509" s="60"/>
      <c r="D509" s="61"/>
      <c r="E509" s="62"/>
      <c r="F509" s="63"/>
      <c r="G509" s="64"/>
      <c r="H509" s="64"/>
      <c r="I509" s="65" t="s">
        <v>1</v>
      </c>
      <c r="J509" s="64">
        <f>COUNT(M511:M519)</f>
        <v>8</v>
      </c>
      <c r="K509" s="81"/>
      <c r="L509" s="66" t="s">
        <v>0</v>
      </c>
      <c r="M509" s="67">
        <f>SUM(M511:M519)</f>
        <v>73687</v>
      </c>
    </row>
    <row r="510" spans="1:13" ht="37.5" x14ac:dyDescent="0.25">
      <c r="A510" s="80"/>
      <c r="B510" s="80"/>
      <c r="C510" s="47" t="s">
        <v>2</v>
      </c>
      <c r="D510" s="48" t="s">
        <v>3</v>
      </c>
      <c r="E510" s="49" t="s">
        <v>4</v>
      </c>
      <c r="F510" s="50" t="s">
        <v>5</v>
      </c>
      <c r="G510" s="51" t="s">
        <v>6</v>
      </c>
      <c r="H510" s="51" t="s">
        <v>7</v>
      </c>
      <c r="I510" s="50" t="s">
        <v>8</v>
      </c>
      <c r="J510" s="50" t="s">
        <v>9</v>
      </c>
      <c r="K510" s="50" t="s">
        <v>10</v>
      </c>
      <c r="L510" s="51" t="s">
        <v>11</v>
      </c>
      <c r="M510" s="52" t="s">
        <v>12</v>
      </c>
    </row>
    <row r="511" spans="1:13" ht="30" x14ac:dyDescent="0.25">
      <c r="C511" s="29">
        <v>42251</v>
      </c>
      <c r="D511" s="33">
        <v>16059</v>
      </c>
      <c r="E511" s="16" t="s">
        <v>121</v>
      </c>
      <c r="F511" s="16" t="s">
        <v>304</v>
      </c>
      <c r="G511" s="28" t="s">
        <v>305</v>
      </c>
      <c r="H511" s="28" t="s">
        <v>65</v>
      </c>
      <c r="I511" s="16" t="s">
        <v>306</v>
      </c>
      <c r="J511" s="28" t="s">
        <v>62</v>
      </c>
      <c r="K511" s="16" t="s">
        <v>208</v>
      </c>
      <c r="L511" s="28" t="s">
        <v>52</v>
      </c>
      <c r="M511" s="31">
        <v>26449</v>
      </c>
    </row>
    <row r="512" spans="1:13" x14ac:dyDescent="0.25">
      <c r="C512" s="29">
        <v>42277</v>
      </c>
      <c r="D512" s="33" t="s">
        <v>430</v>
      </c>
      <c r="E512" s="16" t="s">
        <v>121</v>
      </c>
      <c r="F512" s="16" t="s">
        <v>431</v>
      </c>
      <c r="G512" s="28" t="s">
        <v>305</v>
      </c>
      <c r="H512" s="28" t="s">
        <v>65</v>
      </c>
      <c r="I512" s="16" t="s">
        <v>104</v>
      </c>
      <c r="J512" s="28" t="s">
        <v>58</v>
      </c>
      <c r="K512" s="16" t="s">
        <v>104</v>
      </c>
      <c r="L512" s="28" t="s">
        <v>53</v>
      </c>
      <c r="M512" s="31">
        <v>520</v>
      </c>
    </row>
    <row r="513" spans="1:13" x14ac:dyDescent="0.25">
      <c r="C513" s="29">
        <v>42277</v>
      </c>
      <c r="D513" s="33" t="s">
        <v>432</v>
      </c>
      <c r="E513" s="16" t="s">
        <v>121</v>
      </c>
      <c r="F513" s="16" t="s">
        <v>433</v>
      </c>
      <c r="G513" s="28" t="s">
        <v>305</v>
      </c>
      <c r="H513" s="28" t="s">
        <v>65</v>
      </c>
      <c r="I513" s="16" t="s">
        <v>104</v>
      </c>
      <c r="J513" s="28" t="s">
        <v>58</v>
      </c>
      <c r="K513" s="16" t="s">
        <v>104</v>
      </c>
      <c r="L513" s="28" t="s">
        <v>53</v>
      </c>
      <c r="M513" s="31">
        <v>5266</v>
      </c>
    </row>
    <row r="514" spans="1:13" x14ac:dyDescent="0.25">
      <c r="C514" s="23">
        <v>42369</v>
      </c>
      <c r="D514" s="34" t="s">
        <v>432</v>
      </c>
      <c r="E514" s="24" t="s">
        <v>121</v>
      </c>
      <c r="F514" s="24" t="s">
        <v>433</v>
      </c>
      <c r="G514" s="25" t="s">
        <v>305</v>
      </c>
      <c r="H514" s="25" t="s">
        <v>65</v>
      </c>
      <c r="I514" s="24" t="s">
        <v>104</v>
      </c>
      <c r="J514" s="25" t="s">
        <v>58</v>
      </c>
      <c r="K514" s="24" t="s">
        <v>104</v>
      </c>
      <c r="L514" s="25" t="s">
        <v>53</v>
      </c>
      <c r="M514" s="26">
        <v>4515</v>
      </c>
    </row>
    <row r="515" spans="1:13" x14ac:dyDescent="0.25">
      <c r="C515" s="23">
        <v>42460</v>
      </c>
      <c r="D515" s="34" t="s">
        <v>430</v>
      </c>
      <c r="E515" s="24" t="s">
        <v>121</v>
      </c>
      <c r="F515" s="24" t="s">
        <v>431</v>
      </c>
      <c r="G515" s="25" t="s">
        <v>305</v>
      </c>
      <c r="H515" s="25" t="s">
        <v>65</v>
      </c>
      <c r="I515" s="24" t="s">
        <v>104</v>
      </c>
      <c r="J515" s="25" t="s">
        <v>58</v>
      </c>
      <c r="K515" s="24" t="s">
        <v>104</v>
      </c>
      <c r="L515" s="25" t="s">
        <v>53</v>
      </c>
      <c r="M515" s="26">
        <v>1040</v>
      </c>
    </row>
    <row r="516" spans="1:13" x14ac:dyDescent="0.25">
      <c r="C516" s="23">
        <v>42460</v>
      </c>
      <c r="D516" s="34" t="s">
        <v>432</v>
      </c>
      <c r="E516" s="24" t="s">
        <v>121</v>
      </c>
      <c r="F516" s="24" t="s">
        <v>433</v>
      </c>
      <c r="G516" s="25" t="s">
        <v>305</v>
      </c>
      <c r="H516" s="25" t="s">
        <v>65</v>
      </c>
      <c r="I516" s="24" t="s">
        <v>104</v>
      </c>
      <c r="J516" s="25" t="s">
        <v>58</v>
      </c>
      <c r="K516" s="24" t="s">
        <v>104</v>
      </c>
      <c r="L516" s="25" t="s">
        <v>53</v>
      </c>
      <c r="M516" s="26">
        <v>6813</v>
      </c>
    </row>
    <row r="517" spans="1:13" ht="30" x14ac:dyDescent="0.25">
      <c r="C517" s="23">
        <v>42501</v>
      </c>
      <c r="D517" s="34">
        <v>16178</v>
      </c>
      <c r="E517" s="24" t="s">
        <v>149</v>
      </c>
      <c r="F517" s="24" t="s">
        <v>700</v>
      </c>
      <c r="G517" s="25" t="s">
        <v>305</v>
      </c>
      <c r="H517" s="25" t="s">
        <v>65</v>
      </c>
      <c r="I517" s="24" t="s">
        <v>306</v>
      </c>
      <c r="J517" s="25" t="s">
        <v>62</v>
      </c>
      <c r="K517" s="24" t="s">
        <v>208</v>
      </c>
      <c r="L517" s="25" t="s">
        <v>52</v>
      </c>
      <c r="M517" s="26">
        <v>24648</v>
      </c>
    </row>
    <row r="518" spans="1:13" x14ac:dyDescent="0.25">
      <c r="C518" s="29">
        <v>42551</v>
      </c>
      <c r="D518" s="34" t="s">
        <v>432</v>
      </c>
      <c r="E518" s="24" t="s">
        <v>121</v>
      </c>
      <c r="F518" s="24" t="s">
        <v>735</v>
      </c>
      <c r="G518" s="25" t="s">
        <v>305</v>
      </c>
      <c r="H518" s="25" t="s">
        <v>65</v>
      </c>
      <c r="I518" s="16" t="s">
        <v>104</v>
      </c>
      <c r="J518" s="28" t="s">
        <v>58</v>
      </c>
      <c r="K518" s="16" t="s">
        <v>104</v>
      </c>
      <c r="L518" s="25" t="s">
        <v>53</v>
      </c>
      <c r="M518" s="26">
        <v>4436</v>
      </c>
    </row>
    <row r="519" spans="1:13" x14ac:dyDescent="0.25">
      <c r="C519" s="70"/>
      <c r="D519" s="71"/>
      <c r="E519" s="72"/>
      <c r="F519" s="56"/>
      <c r="G519" s="68"/>
      <c r="H519" s="68"/>
      <c r="I519" s="56"/>
      <c r="J519" s="68"/>
      <c r="K519" s="36"/>
      <c r="L519" s="68"/>
      <c r="M519" s="86"/>
    </row>
    <row r="520" spans="1:13" ht="21" x14ac:dyDescent="0.25">
      <c r="A520" s="58"/>
      <c r="B520" s="59" t="s">
        <v>43</v>
      </c>
      <c r="C520" s="60"/>
      <c r="D520" s="61"/>
      <c r="E520" s="62"/>
      <c r="F520" s="63"/>
      <c r="G520" s="64"/>
      <c r="H520" s="64"/>
      <c r="I520" s="65" t="s">
        <v>1</v>
      </c>
      <c r="J520" s="64">
        <f>COUNT(M522:M529)</f>
        <v>7</v>
      </c>
      <c r="K520" s="81"/>
      <c r="L520" s="66" t="s">
        <v>0</v>
      </c>
      <c r="M520" s="67">
        <f>SUM(M522:M529)</f>
        <v>272983.58</v>
      </c>
    </row>
    <row r="521" spans="1:13" ht="37.5" x14ac:dyDescent="0.25">
      <c r="A521" s="80"/>
      <c r="B521" s="80"/>
      <c r="C521" s="47" t="s">
        <v>2</v>
      </c>
      <c r="D521" s="48" t="s">
        <v>3</v>
      </c>
      <c r="E521" s="49" t="s">
        <v>4</v>
      </c>
      <c r="F521" s="50" t="s">
        <v>5</v>
      </c>
      <c r="G521" s="51" t="s">
        <v>6</v>
      </c>
      <c r="H521" s="51" t="s">
        <v>7</v>
      </c>
      <c r="I521" s="50" t="s">
        <v>8</v>
      </c>
      <c r="J521" s="50" t="s">
        <v>9</v>
      </c>
      <c r="K521" s="50" t="s">
        <v>10</v>
      </c>
      <c r="L521" s="51" t="s">
        <v>11</v>
      </c>
      <c r="M521" s="52" t="s">
        <v>12</v>
      </c>
    </row>
    <row r="522" spans="1:13" x14ac:dyDescent="0.25">
      <c r="C522" s="29">
        <v>42277</v>
      </c>
      <c r="D522" s="33" t="s">
        <v>406</v>
      </c>
      <c r="E522" s="16" t="s">
        <v>170</v>
      </c>
      <c r="F522" s="16" t="s">
        <v>407</v>
      </c>
      <c r="G522" s="28" t="s">
        <v>408</v>
      </c>
      <c r="H522" s="28" t="s">
        <v>65</v>
      </c>
      <c r="I522" s="16" t="s">
        <v>104</v>
      </c>
      <c r="J522" s="28" t="s">
        <v>58</v>
      </c>
      <c r="K522" s="16" t="s">
        <v>104</v>
      </c>
      <c r="L522" s="28" t="s">
        <v>53</v>
      </c>
      <c r="M522" s="31">
        <v>62556.950000000004</v>
      </c>
    </row>
    <row r="523" spans="1:13" x14ac:dyDescent="0.25">
      <c r="C523" s="29">
        <v>42277</v>
      </c>
      <c r="D523" s="33" t="s">
        <v>409</v>
      </c>
      <c r="E523" s="16" t="s">
        <v>170</v>
      </c>
      <c r="F523" s="16" t="s">
        <v>410</v>
      </c>
      <c r="G523" s="28" t="s">
        <v>408</v>
      </c>
      <c r="H523" s="28" t="s">
        <v>65</v>
      </c>
      <c r="I523" s="16" t="s">
        <v>104</v>
      </c>
      <c r="J523" s="28" t="s">
        <v>58</v>
      </c>
      <c r="K523" s="16" t="s">
        <v>104</v>
      </c>
      <c r="L523" s="28" t="s">
        <v>53</v>
      </c>
      <c r="M523" s="31">
        <v>455</v>
      </c>
    </row>
    <row r="524" spans="1:13" x14ac:dyDescent="0.25">
      <c r="C524" s="23">
        <v>42369</v>
      </c>
      <c r="D524" s="34" t="s">
        <v>406</v>
      </c>
      <c r="E524" s="24" t="s">
        <v>170</v>
      </c>
      <c r="F524" s="24" t="s">
        <v>407</v>
      </c>
      <c r="G524" s="25" t="s">
        <v>408</v>
      </c>
      <c r="H524" s="25" t="s">
        <v>65</v>
      </c>
      <c r="I524" s="24" t="s">
        <v>104</v>
      </c>
      <c r="J524" s="25" t="s">
        <v>58</v>
      </c>
      <c r="K524" s="24" t="s">
        <v>104</v>
      </c>
      <c r="L524" s="25" t="s">
        <v>53</v>
      </c>
      <c r="M524" s="26">
        <v>56697.91</v>
      </c>
    </row>
    <row r="525" spans="1:13" ht="30" x14ac:dyDescent="0.25">
      <c r="C525" s="23">
        <v>42398</v>
      </c>
      <c r="D525" s="34">
        <v>16130</v>
      </c>
      <c r="E525" s="24" t="s">
        <v>170</v>
      </c>
      <c r="F525" s="74" t="s">
        <v>607</v>
      </c>
      <c r="G525" s="25" t="s">
        <v>408</v>
      </c>
      <c r="H525" s="25" t="s">
        <v>65</v>
      </c>
      <c r="I525" s="24" t="s">
        <v>467</v>
      </c>
      <c r="J525" s="25" t="s">
        <v>62</v>
      </c>
      <c r="K525" s="74" t="s">
        <v>608</v>
      </c>
      <c r="L525" s="25" t="s">
        <v>53</v>
      </c>
      <c r="M525" s="26">
        <v>77664</v>
      </c>
    </row>
    <row r="526" spans="1:13" x14ac:dyDescent="0.25">
      <c r="C526" s="23">
        <v>42460</v>
      </c>
      <c r="D526" s="34" t="s">
        <v>406</v>
      </c>
      <c r="E526" s="24" t="s">
        <v>170</v>
      </c>
      <c r="F526" s="24" t="s">
        <v>407</v>
      </c>
      <c r="G526" s="25" t="s">
        <v>408</v>
      </c>
      <c r="H526" s="25" t="s">
        <v>65</v>
      </c>
      <c r="I526" s="24" t="s">
        <v>104</v>
      </c>
      <c r="J526" s="25" t="s">
        <v>58</v>
      </c>
      <c r="K526" s="24" t="s">
        <v>104</v>
      </c>
      <c r="L526" s="25" t="s">
        <v>53</v>
      </c>
      <c r="M526" s="26">
        <v>24783.910000000003</v>
      </c>
    </row>
    <row r="527" spans="1:13" ht="30" x14ac:dyDescent="0.25">
      <c r="C527" s="23">
        <v>42523</v>
      </c>
      <c r="D527" s="34">
        <v>16188</v>
      </c>
      <c r="E527" s="24" t="s">
        <v>727</v>
      </c>
      <c r="F527" s="24" t="s">
        <v>728</v>
      </c>
      <c r="G527" s="25" t="s">
        <v>408</v>
      </c>
      <c r="H527" s="25" t="s">
        <v>66</v>
      </c>
      <c r="I527" s="24" t="s">
        <v>467</v>
      </c>
      <c r="J527" s="25" t="s">
        <v>62</v>
      </c>
      <c r="K527" s="24" t="s">
        <v>608</v>
      </c>
      <c r="L527" s="25" t="s">
        <v>52</v>
      </c>
      <c r="M527" s="26">
        <v>5000</v>
      </c>
    </row>
    <row r="528" spans="1:13" x14ac:dyDescent="0.25">
      <c r="C528" s="29">
        <v>42551</v>
      </c>
      <c r="D528" s="34" t="s">
        <v>406</v>
      </c>
      <c r="E528" s="24" t="s">
        <v>170</v>
      </c>
      <c r="F528" s="24" t="s">
        <v>735</v>
      </c>
      <c r="G528" s="25" t="s">
        <v>408</v>
      </c>
      <c r="H528" s="25" t="s">
        <v>65</v>
      </c>
      <c r="I528" s="16" t="s">
        <v>104</v>
      </c>
      <c r="J528" s="28" t="s">
        <v>58</v>
      </c>
      <c r="K528" s="16" t="s">
        <v>104</v>
      </c>
      <c r="L528" s="25" t="s">
        <v>53</v>
      </c>
      <c r="M528" s="26">
        <v>45825.810000000005</v>
      </c>
    </row>
    <row r="529" spans="1:13" x14ac:dyDescent="0.25">
      <c r="C529" s="70"/>
      <c r="D529" s="71"/>
      <c r="E529" s="72"/>
      <c r="F529" s="56"/>
      <c r="G529" s="68"/>
      <c r="H529" s="68"/>
      <c r="I529" s="56"/>
      <c r="J529" s="68"/>
      <c r="K529" s="36"/>
      <c r="L529" s="68"/>
      <c r="M529" s="86"/>
    </row>
    <row r="530" spans="1:13" ht="21" x14ac:dyDescent="0.25">
      <c r="A530" s="37" t="s">
        <v>44</v>
      </c>
      <c r="B530" s="37"/>
      <c r="C530" s="38"/>
      <c r="D530" s="39"/>
      <c r="E530" s="40"/>
      <c r="F530" s="41"/>
      <c r="G530" s="42"/>
      <c r="H530" s="42"/>
      <c r="I530" s="43" t="s">
        <v>1</v>
      </c>
      <c r="J530" s="42">
        <f>J531+J562+J568</f>
        <v>37</v>
      </c>
      <c r="K530" s="83"/>
      <c r="L530" s="44" t="s">
        <v>0</v>
      </c>
      <c r="M530" s="45">
        <f>M531+M562+M568</f>
        <v>5954775.8300000001</v>
      </c>
    </row>
    <row r="531" spans="1:13" ht="21" x14ac:dyDescent="0.25">
      <c r="B531" s="59" t="s">
        <v>44</v>
      </c>
      <c r="C531" s="60"/>
      <c r="D531" s="61"/>
      <c r="E531" s="62"/>
      <c r="F531" s="63"/>
      <c r="G531" s="64"/>
      <c r="H531" s="64"/>
      <c r="I531" s="65" t="s">
        <v>1</v>
      </c>
      <c r="J531" s="64">
        <f>COUNT(M533:M561)</f>
        <v>28</v>
      </c>
      <c r="K531" s="81"/>
      <c r="L531" s="66" t="s">
        <v>0</v>
      </c>
      <c r="M531" s="67">
        <f>SUM(M533:M561)</f>
        <v>1515761.23</v>
      </c>
    </row>
    <row r="532" spans="1:13" ht="37.5" x14ac:dyDescent="0.25">
      <c r="A532" s="80"/>
      <c r="B532" s="80"/>
      <c r="C532" s="47" t="s">
        <v>2</v>
      </c>
      <c r="D532" s="48" t="s">
        <v>3</v>
      </c>
      <c r="E532" s="49" t="s">
        <v>4</v>
      </c>
      <c r="F532" s="50" t="s">
        <v>5</v>
      </c>
      <c r="G532" s="51" t="s">
        <v>6</v>
      </c>
      <c r="H532" s="51" t="s">
        <v>7</v>
      </c>
      <c r="I532" s="50" t="s">
        <v>8</v>
      </c>
      <c r="J532" s="50" t="s">
        <v>9</v>
      </c>
      <c r="K532" s="50" t="s">
        <v>10</v>
      </c>
      <c r="L532" s="51" t="s">
        <v>11</v>
      </c>
      <c r="M532" s="52" t="s">
        <v>12</v>
      </c>
    </row>
    <row r="533" spans="1:13" ht="75" x14ac:dyDescent="0.25">
      <c r="C533" s="54">
        <v>42240</v>
      </c>
      <c r="D533" s="9">
        <v>16042</v>
      </c>
      <c r="E533" s="56" t="s">
        <v>277</v>
      </c>
      <c r="F533" s="56" t="s">
        <v>278</v>
      </c>
      <c r="G533" s="57" t="s">
        <v>133</v>
      </c>
      <c r="H533" s="68" t="s">
        <v>133</v>
      </c>
      <c r="I533" s="56" t="s">
        <v>134</v>
      </c>
      <c r="J533" s="68" t="s">
        <v>62</v>
      </c>
      <c r="K533" s="56" t="s">
        <v>104</v>
      </c>
      <c r="L533" s="85" t="s">
        <v>197</v>
      </c>
      <c r="M533" s="69">
        <v>254649.15</v>
      </c>
    </row>
    <row r="534" spans="1:13" ht="60" x14ac:dyDescent="0.25">
      <c r="C534" s="54">
        <v>42240</v>
      </c>
      <c r="D534" s="9">
        <v>16044</v>
      </c>
      <c r="E534" s="56" t="s">
        <v>277</v>
      </c>
      <c r="F534" s="56" t="s">
        <v>280</v>
      </c>
      <c r="G534" s="57" t="s">
        <v>133</v>
      </c>
      <c r="H534" s="68" t="s">
        <v>133</v>
      </c>
      <c r="I534" s="56" t="s">
        <v>134</v>
      </c>
      <c r="J534" s="68" t="s">
        <v>62</v>
      </c>
      <c r="K534" s="56" t="s">
        <v>104</v>
      </c>
      <c r="L534" s="85" t="s">
        <v>52</v>
      </c>
      <c r="M534" s="69">
        <v>14907</v>
      </c>
    </row>
    <row r="535" spans="1:13" ht="75" x14ac:dyDescent="0.25">
      <c r="C535" s="54">
        <v>42240</v>
      </c>
      <c r="D535" s="9">
        <v>16042</v>
      </c>
      <c r="E535" s="56" t="s">
        <v>135</v>
      </c>
      <c r="F535" s="56" t="s">
        <v>278</v>
      </c>
      <c r="G535" s="57" t="s">
        <v>133</v>
      </c>
      <c r="H535" s="68" t="s">
        <v>133</v>
      </c>
      <c r="I535" s="56" t="s">
        <v>134</v>
      </c>
      <c r="J535" s="68" t="s">
        <v>62</v>
      </c>
      <c r="K535" s="56" t="s">
        <v>104</v>
      </c>
      <c r="L535" s="85" t="s">
        <v>197</v>
      </c>
      <c r="M535" s="69">
        <v>56588.700000000004</v>
      </c>
    </row>
    <row r="536" spans="1:13" ht="60" x14ac:dyDescent="0.25">
      <c r="C536" s="54">
        <v>42240</v>
      </c>
      <c r="D536" s="9">
        <v>16044</v>
      </c>
      <c r="E536" s="56" t="s">
        <v>281</v>
      </c>
      <c r="F536" s="56" t="s">
        <v>280</v>
      </c>
      <c r="G536" s="57" t="s">
        <v>133</v>
      </c>
      <c r="H536" s="68" t="s">
        <v>133</v>
      </c>
      <c r="I536" s="56" t="s">
        <v>134</v>
      </c>
      <c r="J536" s="68" t="s">
        <v>62</v>
      </c>
      <c r="K536" s="56" t="s">
        <v>104</v>
      </c>
      <c r="L536" s="85" t="s">
        <v>52</v>
      </c>
      <c r="M536" s="69">
        <v>14907</v>
      </c>
    </row>
    <row r="537" spans="1:13" ht="75" x14ac:dyDescent="0.25">
      <c r="C537" s="54">
        <v>42240</v>
      </c>
      <c r="D537" s="9">
        <v>16042</v>
      </c>
      <c r="E537" s="56" t="s">
        <v>279</v>
      </c>
      <c r="F537" s="56" t="s">
        <v>278</v>
      </c>
      <c r="G537" s="57" t="s">
        <v>133</v>
      </c>
      <c r="H537" s="68" t="s">
        <v>133</v>
      </c>
      <c r="I537" s="56" t="s">
        <v>134</v>
      </c>
      <c r="J537" s="68" t="s">
        <v>62</v>
      </c>
      <c r="K537" s="56" t="s">
        <v>104</v>
      </c>
      <c r="L537" s="85" t="s">
        <v>197</v>
      </c>
      <c r="M537" s="69">
        <v>254649.15</v>
      </c>
    </row>
    <row r="538" spans="1:13" x14ac:dyDescent="0.25">
      <c r="C538" s="29">
        <v>42277</v>
      </c>
      <c r="D538" s="33" t="s">
        <v>395</v>
      </c>
      <c r="E538" s="16" t="s">
        <v>166</v>
      </c>
      <c r="F538" s="16" t="s">
        <v>396</v>
      </c>
      <c r="G538" s="28" t="s">
        <v>133</v>
      </c>
      <c r="H538" s="28" t="s">
        <v>66</v>
      </c>
      <c r="I538" s="16" t="s">
        <v>104</v>
      </c>
      <c r="J538" s="28" t="s">
        <v>58</v>
      </c>
      <c r="K538" s="16" t="s">
        <v>104</v>
      </c>
      <c r="L538" s="28" t="s">
        <v>53</v>
      </c>
      <c r="M538" s="31">
        <v>484.21</v>
      </c>
    </row>
    <row r="539" spans="1:13" x14ac:dyDescent="0.25">
      <c r="C539" s="29">
        <v>42277</v>
      </c>
      <c r="D539" s="33" t="s">
        <v>397</v>
      </c>
      <c r="E539" s="16" t="s">
        <v>166</v>
      </c>
      <c r="F539" s="16" t="s">
        <v>398</v>
      </c>
      <c r="G539" s="28" t="s">
        <v>133</v>
      </c>
      <c r="H539" s="28" t="s">
        <v>66</v>
      </c>
      <c r="I539" s="16" t="s">
        <v>104</v>
      </c>
      <c r="J539" s="28" t="s">
        <v>58</v>
      </c>
      <c r="K539" s="16" t="s">
        <v>104</v>
      </c>
      <c r="L539" s="28" t="s">
        <v>53</v>
      </c>
      <c r="M539" s="31">
        <v>12807.839999999998</v>
      </c>
    </row>
    <row r="540" spans="1:13" x14ac:dyDescent="0.25">
      <c r="C540" s="12">
        <v>42291</v>
      </c>
      <c r="D540" s="32">
        <v>16068</v>
      </c>
      <c r="E540" s="13" t="s">
        <v>450</v>
      </c>
      <c r="F540" s="13" t="s">
        <v>451</v>
      </c>
      <c r="G540" s="14" t="s">
        <v>133</v>
      </c>
      <c r="H540" s="14" t="s">
        <v>66</v>
      </c>
      <c r="I540" s="13" t="s">
        <v>134</v>
      </c>
      <c r="J540" s="14" t="s">
        <v>62</v>
      </c>
      <c r="K540" s="13" t="s">
        <v>104</v>
      </c>
      <c r="L540" s="14" t="s">
        <v>198</v>
      </c>
      <c r="M540" s="15">
        <v>14522</v>
      </c>
    </row>
    <row r="541" spans="1:13" ht="45" x14ac:dyDescent="0.25">
      <c r="C541" s="23">
        <v>42309</v>
      </c>
      <c r="D541" s="34">
        <v>16101</v>
      </c>
      <c r="E541" s="24" t="s">
        <v>499</v>
      </c>
      <c r="F541" s="24" t="s">
        <v>500</v>
      </c>
      <c r="G541" s="25" t="s">
        <v>133</v>
      </c>
      <c r="H541" s="25" t="s">
        <v>66</v>
      </c>
      <c r="I541" s="24" t="s">
        <v>134</v>
      </c>
      <c r="J541" s="25" t="s">
        <v>62</v>
      </c>
      <c r="K541" s="24" t="s">
        <v>104</v>
      </c>
      <c r="L541" s="25" t="s">
        <v>52</v>
      </c>
      <c r="M541" s="26">
        <f>206963*60%</f>
        <v>124177.79999999999</v>
      </c>
    </row>
    <row r="542" spans="1:13" ht="45" x14ac:dyDescent="0.25">
      <c r="C542" s="23">
        <v>42309</v>
      </c>
      <c r="D542" s="34">
        <v>16101</v>
      </c>
      <c r="E542" s="24" t="s">
        <v>450</v>
      </c>
      <c r="F542" s="24" t="s">
        <v>500</v>
      </c>
      <c r="G542" s="25" t="s">
        <v>133</v>
      </c>
      <c r="H542" s="25" t="s">
        <v>66</v>
      </c>
      <c r="I542" s="24" t="s">
        <v>134</v>
      </c>
      <c r="J542" s="25" t="s">
        <v>62</v>
      </c>
      <c r="K542" s="24" t="s">
        <v>104</v>
      </c>
      <c r="L542" s="25" t="s">
        <v>52</v>
      </c>
      <c r="M542" s="26">
        <f>206963*40%</f>
        <v>82785.200000000012</v>
      </c>
    </row>
    <row r="543" spans="1:13" x14ac:dyDescent="0.25">
      <c r="C543" s="23">
        <v>42369</v>
      </c>
      <c r="D543" s="34" t="s">
        <v>395</v>
      </c>
      <c r="E543" s="24" t="s">
        <v>166</v>
      </c>
      <c r="F543" s="24" t="s">
        <v>396</v>
      </c>
      <c r="G543" s="25" t="s">
        <v>133</v>
      </c>
      <c r="H543" s="25" t="s">
        <v>66</v>
      </c>
      <c r="I543" s="24" t="s">
        <v>104</v>
      </c>
      <c r="J543" s="25" t="s">
        <v>58</v>
      </c>
      <c r="K543" s="24" t="s">
        <v>104</v>
      </c>
      <c r="L543" s="25" t="s">
        <v>53</v>
      </c>
      <c r="M543" s="26">
        <v>134</v>
      </c>
    </row>
    <row r="544" spans="1:13" x14ac:dyDescent="0.25">
      <c r="C544" s="23">
        <v>42369</v>
      </c>
      <c r="D544" s="34" t="s">
        <v>397</v>
      </c>
      <c r="E544" s="24" t="s">
        <v>166</v>
      </c>
      <c r="F544" s="24" t="s">
        <v>398</v>
      </c>
      <c r="G544" s="25" t="s">
        <v>133</v>
      </c>
      <c r="H544" s="25" t="s">
        <v>66</v>
      </c>
      <c r="I544" s="24" t="s">
        <v>104</v>
      </c>
      <c r="J544" s="25" t="s">
        <v>58</v>
      </c>
      <c r="K544" s="24" t="s">
        <v>104</v>
      </c>
      <c r="L544" s="25" t="s">
        <v>53</v>
      </c>
      <c r="M544" s="26">
        <v>-4812.96</v>
      </c>
    </row>
    <row r="545" spans="3:13" x14ac:dyDescent="0.25">
      <c r="C545" s="23">
        <v>42460</v>
      </c>
      <c r="D545" s="34" t="s">
        <v>666</v>
      </c>
      <c r="E545" s="24" t="s">
        <v>166</v>
      </c>
      <c r="F545" s="24" t="s">
        <v>667</v>
      </c>
      <c r="G545" s="25" t="s">
        <v>133</v>
      </c>
      <c r="H545" s="25" t="s">
        <v>66</v>
      </c>
      <c r="I545" s="24" t="s">
        <v>104</v>
      </c>
      <c r="J545" s="25" t="s">
        <v>58</v>
      </c>
      <c r="K545" s="24" t="s">
        <v>104</v>
      </c>
      <c r="L545" s="25" t="s">
        <v>53</v>
      </c>
      <c r="M545" s="26">
        <v>2687</v>
      </c>
    </row>
    <row r="546" spans="3:13" x14ac:dyDescent="0.25">
      <c r="C546" s="23">
        <v>42460</v>
      </c>
      <c r="D546" s="34" t="s">
        <v>395</v>
      </c>
      <c r="E546" s="24" t="s">
        <v>166</v>
      </c>
      <c r="F546" s="24" t="s">
        <v>396</v>
      </c>
      <c r="G546" s="25" t="s">
        <v>133</v>
      </c>
      <c r="H546" s="25" t="s">
        <v>66</v>
      </c>
      <c r="I546" s="24" t="s">
        <v>104</v>
      </c>
      <c r="J546" s="25" t="s">
        <v>58</v>
      </c>
      <c r="K546" s="24" t="s">
        <v>104</v>
      </c>
      <c r="L546" s="25" t="s">
        <v>53</v>
      </c>
      <c r="M546" s="26">
        <v>1923.5</v>
      </c>
    </row>
    <row r="547" spans="3:13" x14ac:dyDescent="0.25">
      <c r="C547" s="23">
        <v>42460</v>
      </c>
      <c r="D547" s="34" t="s">
        <v>397</v>
      </c>
      <c r="E547" s="24" t="s">
        <v>166</v>
      </c>
      <c r="F547" s="24" t="s">
        <v>398</v>
      </c>
      <c r="G547" s="25" t="s">
        <v>133</v>
      </c>
      <c r="H547" s="25" t="s">
        <v>66</v>
      </c>
      <c r="I547" s="24" t="s">
        <v>104</v>
      </c>
      <c r="J547" s="25" t="s">
        <v>58</v>
      </c>
      <c r="K547" s="24" t="s">
        <v>104</v>
      </c>
      <c r="L547" s="25" t="s">
        <v>53</v>
      </c>
      <c r="M547" s="26">
        <v>1520.96</v>
      </c>
    </row>
    <row r="548" spans="3:13" ht="30" x14ac:dyDescent="0.25">
      <c r="C548" s="23">
        <v>42485</v>
      </c>
      <c r="D548" s="34">
        <v>16168</v>
      </c>
      <c r="E548" s="24" t="s">
        <v>689</v>
      </c>
      <c r="F548" s="24" t="s">
        <v>690</v>
      </c>
      <c r="G548" s="25" t="s">
        <v>133</v>
      </c>
      <c r="H548" s="25" t="s">
        <v>133</v>
      </c>
      <c r="I548" s="24" t="s">
        <v>134</v>
      </c>
      <c r="J548" s="25" t="s">
        <v>62</v>
      </c>
      <c r="K548" s="24" t="s">
        <v>318</v>
      </c>
      <c r="L548" s="25" t="s">
        <v>198</v>
      </c>
      <c r="M548" s="26">
        <f>20726*90%</f>
        <v>18653.400000000001</v>
      </c>
    </row>
    <row r="549" spans="3:13" ht="45" x14ac:dyDescent="0.25">
      <c r="C549" s="23">
        <v>42479</v>
      </c>
      <c r="D549" s="34">
        <v>16161</v>
      </c>
      <c r="E549" s="24" t="s">
        <v>686</v>
      </c>
      <c r="F549" s="36" t="s">
        <v>683</v>
      </c>
      <c r="G549" s="25" t="s">
        <v>133</v>
      </c>
      <c r="H549" s="25" t="s">
        <v>133</v>
      </c>
      <c r="I549" s="24" t="s">
        <v>134</v>
      </c>
      <c r="J549" s="25" t="s">
        <v>62</v>
      </c>
      <c r="K549" s="24" t="s">
        <v>104</v>
      </c>
      <c r="L549" s="25" t="s">
        <v>53</v>
      </c>
      <c r="M549" s="26">
        <v>44799</v>
      </c>
    </row>
    <row r="550" spans="3:13" ht="30" x14ac:dyDescent="0.25">
      <c r="C550" s="23">
        <v>42485</v>
      </c>
      <c r="D550" s="34">
        <v>16169</v>
      </c>
      <c r="E550" s="24" t="s">
        <v>567</v>
      </c>
      <c r="F550" s="24" t="s">
        <v>691</v>
      </c>
      <c r="G550" s="25" t="s">
        <v>133</v>
      </c>
      <c r="H550" s="25" t="s">
        <v>133</v>
      </c>
      <c r="I550" s="24" t="s">
        <v>134</v>
      </c>
      <c r="J550" s="25" t="s">
        <v>62</v>
      </c>
      <c r="K550" s="24" t="s">
        <v>318</v>
      </c>
      <c r="L550" s="25" t="s">
        <v>198</v>
      </c>
      <c r="M550" s="26">
        <f>49998*30%</f>
        <v>14999.4</v>
      </c>
    </row>
    <row r="551" spans="3:13" ht="45" x14ac:dyDescent="0.25">
      <c r="C551" s="23">
        <v>42479</v>
      </c>
      <c r="D551" s="34">
        <v>16161</v>
      </c>
      <c r="E551" s="24" t="s">
        <v>685</v>
      </c>
      <c r="F551" s="36" t="s">
        <v>683</v>
      </c>
      <c r="G551" s="25" t="s">
        <v>133</v>
      </c>
      <c r="H551" s="25" t="s">
        <v>133</v>
      </c>
      <c r="I551" s="24" t="s">
        <v>134</v>
      </c>
      <c r="J551" s="25" t="s">
        <v>62</v>
      </c>
      <c r="K551" s="24" t="s">
        <v>104</v>
      </c>
      <c r="L551" s="25" t="s">
        <v>53</v>
      </c>
      <c r="M551" s="26">
        <v>44799</v>
      </c>
    </row>
    <row r="552" spans="3:13" ht="45" x14ac:dyDescent="0.25">
      <c r="C552" s="23">
        <v>42479</v>
      </c>
      <c r="D552" s="34">
        <v>16163</v>
      </c>
      <c r="E552" s="24" t="s">
        <v>685</v>
      </c>
      <c r="F552" s="24" t="s">
        <v>688</v>
      </c>
      <c r="G552" s="25" t="s">
        <v>133</v>
      </c>
      <c r="H552" s="25" t="s">
        <v>133</v>
      </c>
      <c r="I552" s="24" t="s">
        <v>134</v>
      </c>
      <c r="J552" s="25" t="s">
        <v>62</v>
      </c>
      <c r="K552" s="24" t="s">
        <v>104</v>
      </c>
      <c r="L552" s="25" t="s">
        <v>198</v>
      </c>
      <c r="M552" s="26">
        <v>269827</v>
      </c>
    </row>
    <row r="553" spans="3:13" ht="45" x14ac:dyDescent="0.25">
      <c r="C553" s="23">
        <v>42479</v>
      </c>
      <c r="D553" s="34">
        <v>16161</v>
      </c>
      <c r="E553" s="24" t="s">
        <v>682</v>
      </c>
      <c r="F553" s="36" t="s">
        <v>683</v>
      </c>
      <c r="G553" s="25" t="s">
        <v>133</v>
      </c>
      <c r="H553" s="25" t="s">
        <v>133</v>
      </c>
      <c r="I553" s="24" t="s">
        <v>134</v>
      </c>
      <c r="J553" s="25" t="s">
        <v>62</v>
      </c>
      <c r="K553" s="24" t="s">
        <v>104</v>
      </c>
      <c r="L553" s="25" t="s">
        <v>53</v>
      </c>
      <c r="M553" s="26">
        <v>164265</v>
      </c>
    </row>
    <row r="554" spans="3:13" ht="45" x14ac:dyDescent="0.25">
      <c r="C554" s="23">
        <v>42479</v>
      </c>
      <c r="D554" s="34">
        <v>16161</v>
      </c>
      <c r="E554" s="24" t="s">
        <v>684</v>
      </c>
      <c r="F554" s="36" t="s">
        <v>683</v>
      </c>
      <c r="G554" s="25" t="s">
        <v>133</v>
      </c>
      <c r="H554" s="25" t="s">
        <v>133</v>
      </c>
      <c r="I554" s="24" t="s">
        <v>134</v>
      </c>
      <c r="J554" s="25" t="s">
        <v>62</v>
      </c>
      <c r="K554" s="24" t="s">
        <v>104</v>
      </c>
      <c r="L554" s="25" t="s">
        <v>53</v>
      </c>
      <c r="M554" s="26">
        <v>44800</v>
      </c>
    </row>
    <row r="555" spans="3:13" ht="45" x14ac:dyDescent="0.25">
      <c r="C555" s="23">
        <v>42479</v>
      </c>
      <c r="D555" s="34">
        <v>16163</v>
      </c>
      <c r="E555" s="24" t="s">
        <v>684</v>
      </c>
      <c r="F555" s="24" t="s">
        <v>688</v>
      </c>
      <c r="G555" s="25" t="s">
        <v>133</v>
      </c>
      <c r="H555" s="25" t="s">
        <v>133</v>
      </c>
      <c r="I555" s="24" t="s">
        <v>134</v>
      </c>
      <c r="J555" s="25" t="s">
        <v>62</v>
      </c>
      <c r="K555" s="24" t="s">
        <v>104</v>
      </c>
      <c r="L555" s="25" t="s">
        <v>198</v>
      </c>
      <c r="M555" s="26">
        <v>29981</v>
      </c>
    </row>
    <row r="556" spans="3:13" ht="30" x14ac:dyDescent="0.25">
      <c r="C556" s="23">
        <v>42485</v>
      </c>
      <c r="D556" s="34">
        <v>16168</v>
      </c>
      <c r="E556" s="24" t="s">
        <v>277</v>
      </c>
      <c r="F556" s="24" t="s">
        <v>690</v>
      </c>
      <c r="G556" s="25" t="s">
        <v>133</v>
      </c>
      <c r="H556" s="25" t="s">
        <v>133</v>
      </c>
      <c r="I556" s="24" t="s">
        <v>134</v>
      </c>
      <c r="J556" s="25" t="s">
        <v>62</v>
      </c>
      <c r="K556" s="24" t="s">
        <v>318</v>
      </c>
      <c r="L556" s="25" t="s">
        <v>198</v>
      </c>
      <c r="M556" s="26">
        <f>20726*10%</f>
        <v>2072.6</v>
      </c>
    </row>
    <row r="557" spans="3:13" ht="30" x14ac:dyDescent="0.25">
      <c r="C557" s="23">
        <v>42479</v>
      </c>
      <c r="D557" s="34">
        <v>16162</v>
      </c>
      <c r="E557" s="24" t="s">
        <v>146</v>
      </c>
      <c r="F557" s="24" t="s">
        <v>687</v>
      </c>
      <c r="G557" s="25" t="s">
        <v>133</v>
      </c>
      <c r="H557" s="25" t="s">
        <v>133</v>
      </c>
      <c r="I557" s="24" t="s">
        <v>134</v>
      </c>
      <c r="J557" s="25" t="s">
        <v>62</v>
      </c>
      <c r="K557" s="24" t="s">
        <v>104</v>
      </c>
      <c r="L557" s="25" t="s">
        <v>198</v>
      </c>
      <c r="M557" s="26">
        <v>28317</v>
      </c>
    </row>
    <row r="558" spans="3:13" x14ac:dyDescent="0.25">
      <c r="C558" s="29">
        <v>42551</v>
      </c>
      <c r="D558" s="34" t="s">
        <v>666</v>
      </c>
      <c r="E558" s="24" t="s">
        <v>166</v>
      </c>
      <c r="F558" s="24" t="s">
        <v>735</v>
      </c>
      <c r="G558" s="25" t="s">
        <v>133</v>
      </c>
      <c r="H558" s="25" t="s">
        <v>66</v>
      </c>
      <c r="I558" s="16" t="s">
        <v>104</v>
      </c>
      <c r="J558" s="28" t="s">
        <v>58</v>
      </c>
      <c r="K558" s="16" t="s">
        <v>104</v>
      </c>
      <c r="L558" s="25" t="s">
        <v>53</v>
      </c>
      <c r="M558" s="26">
        <v>36</v>
      </c>
    </row>
    <row r="559" spans="3:13" x14ac:dyDescent="0.25">
      <c r="C559" s="29">
        <v>42551</v>
      </c>
      <c r="D559" s="34" t="s">
        <v>395</v>
      </c>
      <c r="E559" s="24" t="s">
        <v>166</v>
      </c>
      <c r="F559" s="24" t="s">
        <v>735</v>
      </c>
      <c r="G559" s="25" t="s">
        <v>133</v>
      </c>
      <c r="H559" s="25" t="s">
        <v>66</v>
      </c>
      <c r="I559" s="16" t="s">
        <v>104</v>
      </c>
      <c r="J559" s="28" t="s">
        <v>58</v>
      </c>
      <c r="K559" s="16" t="s">
        <v>104</v>
      </c>
      <c r="L559" s="25" t="s">
        <v>53</v>
      </c>
      <c r="M559" s="26">
        <v>913.97</v>
      </c>
    </row>
    <row r="560" spans="3:13" x14ac:dyDescent="0.25">
      <c r="C560" s="29">
        <v>42551</v>
      </c>
      <c r="D560" s="34" t="s">
        <v>397</v>
      </c>
      <c r="E560" s="24" t="s">
        <v>166</v>
      </c>
      <c r="F560" s="24" t="s">
        <v>735</v>
      </c>
      <c r="G560" s="25" t="s">
        <v>133</v>
      </c>
      <c r="H560" s="25" t="s">
        <v>66</v>
      </c>
      <c r="I560" s="16" t="s">
        <v>104</v>
      </c>
      <c r="J560" s="28" t="s">
        <v>58</v>
      </c>
      <c r="K560" s="16" t="s">
        <v>104</v>
      </c>
      <c r="L560" s="25" t="s">
        <v>53</v>
      </c>
      <c r="M560" s="26">
        <v>20367.310000000001</v>
      </c>
    </row>
    <row r="561" spans="1:13" x14ac:dyDescent="0.25">
      <c r="C561" s="70"/>
      <c r="D561" s="71"/>
      <c r="E561" s="72"/>
      <c r="F561" s="56"/>
      <c r="G561" s="68"/>
      <c r="H561" s="68"/>
      <c r="I561" s="56"/>
      <c r="J561" s="68"/>
      <c r="K561" s="36"/>
      <c r="L561" s="68"/>
      <c r="M561" s="86"/>
    </row>
    <row r="562" spans="1:13" ht="21" x14ac:dyDescent="0.25">
      <c r="A562" s="58"/>
      <c r="B562" s="59" t="s">
        <v>20</v>
      </c>
      <c r="C562" s="60"/>
      <c r="D562" s="61"/>
      <c r="E562" s="62"/>
      <c r="F562" s="63"/>
      <c r="G562" s="64"/>
      <c r="H562" s="64"/>
      <c r="I562" s="65" t="s">
        <v>1</v>
      </c>
      <c r="J562" s="64">
        <f>COUNT(M564:M567)</f>
        <v>3</v>
      </c>
      <c r="K562" s="81"/>
      <c r="L562" s="66" t="s">
        <v>0</v>
      </c>
      <c r="M562" s="67">
        <f>SUM(M564:M567)</f>
        <v>93512</v>
      </c>
    </row>
    <row r="563" spans="1:13" ht="37.5" x14ac:dyDescent="0.25">
      <c r="A563" s="80"/>
      <c r="B563" s="80"/>
      <c r="C563" s="47" t="s">
        <v>2</v>
      </c>
      <c r="D563" s="48" t="s">
        <v>3</v>
      </c>
      <c r="E563" s="49" t="s">
        <v>4</v>
      </c>
      <c r="F563" s="50" t="s">
        <v>5</v>
      </c>
      <c r="G563" s="51" t="s">
        <v>6</v>
      </c>
      <c r="H563" s="51" t="s">
        <v>7</v>
      </c>
      <c r="I563" s="50" t="s">
        <v>8</v>
      </c>
      <c r="J563" s="50" t="s">
        <v>9</v>
      </c>
      <c r="K563" s="50" t="s">
        <v>10</v>
      </c>
      <c r="L563" s="51" t="s">
        <v>11</v>
      </c>
      <c r="M563" s="52" t="s">
        <v>12</v>
      </c>
    </row>
    <row r="564" spans="1:13" ht="45" x14ac:dyDescent="0.25">
      <c r="C564" s="29">
        <v>42262</v>
      </c>
      <c r="D564" s="33">
        <v>15066</v>
      </c>
      <c r="E564" s="16" t="s">
        <v>177</v>
      </c>
      <c r="F564" s="16" t="s">
        <v>317</v>
      </c>
      <c r="G564" s="28" t="s">
        <v>178</v>
      </c>
      <c r="H564" s="28" t="s">
        <v>133</v>
      </c>
      <c r="I564" s="16" t="s">
        <v>318</v>
      </c>
      <c r="J564" s="28" t="s">
        <v>70</v>
      </c>
      <c r="K564" s="16" t="s">
        <v>208</v>
      </c>
      <c r="L564" s="28" t="s">
        <v>198</v>
      </c>
      <c r="M564" s="31">
        <v>8500</v>
      </c>
    </row>
    <row r="565" spans="1:13" x14ac:dyDescent="0.25">
      <c r="C565" s="29">
        <v>42321</v>
      </c>
      <c r="D565" s="33">
        <v>14043</v>
      </c>
      <c r="E565" s="16" t="s">
        <v>177</v>
      </c>
      <c r="F565" s="16" t="s">
        <v>525</v>
      </c>
      <c r="G565" s="28" t="s">
        <v>178</v>
      </c>
      <c r="H565" s="28" t="s">
        <v>133</v>
      </c>
      <c r="I565" s="16" t="s">
        <v>134</v>
      </c>
      <c r="J565" s="28" t="s">
        <v>62</v>
      </c>
      <c r="K565" s="16" t="s">
        <v>104</v>
      </c>
      <c r="L565" s="28" t="s">
        <v>207</v>
      </c>
      <c r="M565" s="31">
        <v>57580</v>
      </c>
    </row>
    <row r="566" spans="1:13" ht="45" x14ac:dyDescent="0.25">
      <c r="C566" s="23">
        <v>42485</v>
      </c>
      <c r="D566" s="34">
        <v>16171</v>
      </c>
      <c r="E566" s="24" t="s">
        <v>177</v>
      </c>
      <c r="F566" s="24" t="s">
        <v>568</v>
      </c>
      <c r="G566" s="25" t="s">
        <v>178</v>
      </c>
      <c r="H566" s="25" t="s">
        <v>133</v>
      </c>
      <c r="I566" s="24" t="s">
        <v>134</v>
      </c>
      <c r="J566" s="25" t="s">
        <v>62</v>
      </c>
      <c r="K566" s="24" t="s">
        <v>318</v>
      </c>
      <c r="L566" s="25" t="s">
        <v>198</v>
      </c>
      <c r="M566" s="26">
        <v>27432</v>
      </c>
    </row>
    <row r="567" spans="1:13" x14ac:dyDescent="0.25">
      <c r="C567" s="29"/>
      <c r="D567" s="27"/>
      <c r="E567" s="16"/>
      <c r="F567" s="16"/>
      <c r="G567" s="28"/>
      <c r="H567" s="28"/>
      <c r="I567" s="16"/>
      <c r="J567" s="28"/>
      <c r="K567" s="16"/>
      <c r="L567" s="28"/>
      <c r="M567" s="31"/>
    </row>
    <row r="568" spans="1:13" ht="21" x14ac:dyDescent="0.25">
      <c r="A568" s="58"/>
      <c r="B568" s="59" t="s">
        <v>45</v>
      </c>
      <c r="C568" s="60"/>
      <c r="D568" s="61"/>
      <c r="E568" s="62"/>
      <c r="F568" s="63"/>
      <c r="G568" s="64"/>
      <c r="H568" s="64"/>
      <c r="I568" s="65" t="s">
        <v>1</v>
      </c>
      <c r="J568" s="64">
        <f>COUNT(M570:M576)</f>
        <v>6</v>
      </c>
      <c r="K568" s="81"/>
      <c r="L568" s="66" t="s">
        <v>0</v>
      </c>
      <c r="M568" s="67">
        <f>SUM(M570:M576)</f>
        <v>4345502.5999999996</v>
      </c>
    </row>
    <row r="569" spans="1:13" ht="37.5" x14ac:dyDescent="0.25">
      <c r="A569" s="80"/>
      <c r="B569" s="80"/>
      <c r="C569" s="47" t="s">
        <v>2</v>
      </c>
      <c r="D569" s="48" t="s">
        <v>3</v>
      </c>
      <c r="E569" s="49" t="s">
        <v>4</v>
      </c>
      <c r="F569" s="50" t="s">
        <v>5</v>
      </c>
      <c r="G569" s="51" t="s">
        <v>6</v>
      </c>
      <c r="H569" s="51" t="s">
        <v>7</v>
      </c>
      <c r="I569" s="50" t="s">
        <v>8</v>
      </c>
      <c r="J569" s="50" t="s">
        <v>9</v>
      </c>
      <c r="K569" s="50" t="s">
        <v>10</v>
      </c>
      <c r="L569" s="51" t="s">
        <v>11</v>
      </c>
      <c r="M569" s="52" t="s">
        <v>12</v>
      </c>
    </row>
    <row r="570" spans="1:13" ht="60" x14ac:dyDescent="0.25">
      <c r="C570" s="54">
        <v>42242</v>
      </c>
      <c r="D570" s="9">
        <v>16041</v>
      </c>
      <c r="E570" s="56" t="s">
        <v>192</v>
      </c>
      <c r="F570" s="56" t="s">
        <v>283</v>
      </c>
      <c r="G570" s="57" t="s">
        <v>265</v>
      </c>
      <c r="H570" s="68" t="s">
        <v>133</v>
      </c>
      <c r="I570" s="56" t="s">
        <v>134</v>
      </c>
      <c r="J570" s="68" t="s">
        <v>62</v>
      </c>
      <c r="K570" s="56" t="s">
        <v>104</v>
      </c>
      <c r="L570" s="85" t="s">
        <v>198</v>
      </c>
      <c r="M570" s="69">
        <v>297584</v>
      </c>
    </row>
    <row r="571" spans="1:13" x14ac:dyDescent="0.25">
      <c r="C571" s="54">
        <v>42235</v>
      </c>
      <c r="D571" s="9">
        <v>16043</v>
      </c>
      <c r="E571" s="56" t="s">
        <v>263</v>
      </c>
      <c r="F571" s="56" t="s">
        <v>264</v>
      </c>
      <c r="G571" s="57" t="s">
        <v>265</v>
      </c>
      <c r="H571" s="68" t="s">
        <v>133</v>
      </c>
      <c r="I571" s="56" t="s">
        <v>75</v>
      </c>
      <c r="J571" s="68" t="s">
        <v>62</v>
      </c>
      <c r="K571" s="56" t="s">
        <v>104</v>
      </c>
      <c r="L571" s="85" t="s">
        <v>52</v>
      </c>
      <c r="M571" s="69">
        <v>3999630</v>
      </c>
    </row>
    <row r="572" spans="1:13" x14ac:dyDescent="0.25">
      <c r="C572" s="29">
        <v>42277</v>
      </c>
      <c r="D572" s="33" t="s">
        <v>402</v>
      </c>
      <c r="E572" s="16" t="s">
        <v>263</v>
      </c>
      <c r="F572" s="16" t="s">
        <v>403</v>
      </c>
      <c r="G572" s="28" t="s">
        <v>265</v>
      </c>
      <c r="H572" s="28" t="s">
        <v>66</v>
      </c>
      <c r="I572" s="16" t="s">
        <v>104</v>
      </c>
      <c r="J572" s="28" t="s">
        <v>58</v>
      </c>
      <c r="K572" s="16" t="s">
        <v>104</v>
      </c>
      <c r="L572" s="28" t="s">
        <v>53</v>
      </c>
      <c r="M572" s="31">
        <v>250</v>
      </c>
    </row>
    <row r="573" spans="1:13" x14ac:dyDescent="0.25">
      <c r="C573" s="23">
        <v>42460</v>
      </c>
      <c r="D573" s="34" t="s">
        <v>402</v>
      </c>
      <c r="E573" s="24" t="s">
        <v>263</v>
      </c>
      <c r="F573" s="24" t="s">
        <v>403</v>
      </c>
      <c r="G573" s="25" t="s">
        <v>265</v>
      </c>
      <c r="H573" s="25" t="s">
        <v>66</v>
      </c>
      <c r="I573" s="24" t="s">
        <v>104</v>
      </c>
      <c r="J573" s="25" t="s">
        <v>58</v>
      </c>
      <c r="K573" s="24" t="s">
        <v>104</v>
      </c>
      <c r="L573" s="25" t="s">
        <v>53</v>
      </c>
      <c r="M573" s="26">
        <v>900</v>
      </c>
    </row>
    <row r="574" spans="1:13" ht="30" x14ac:dyDescent="0.25">
      <c r="C574" s="23">
        <v>42485</v>
      </c>
      <c r="D574" s="34">
        <v>16169</v>
      </c>
      <c r="E574" s="24" t="s">
        <v>192</v>
      </c>
      <c r="F574" s="24" t="s">
        <v>691</v>
      </c>
      <c r="G574" s="25" t="s">
        <v>265</v>
      </c>
      <c r="H574" s="25" t="s">
        <v>133</v>
      </c>
      <c r="I574" s="24" t="s">
        <v>134</v>
      </c>
      <c r="J574" s="25" t="s">
        <v>62</v>
      </c>
      <c r="K574" s="24" t="s">
        <v>318</v>
      </c>
      <c r="L574" s="25" t="s">
        <v>198</v>
      </c>
      <c r="M574" s="26">
        <f>49998*70%</f>
        <v>34998.6</v>
      </c>
    </row>
    <row r="575" spans="1:13" x14ac:dyDescent="0.25">
      <c r="C575" s="29">
        <v>42551</v>
      </c>
      <c r="D575" s="34" t="s">
        <v>402</v>
      </c>
      <c r="E575" s="24" t="s">
        <v>263</v>
      </c>
      <c r="F575" s="24" t="s">
        <v>735</v>
      </c>
      <c r="G575" s="25" t="s">
        <v>265</v>
      </c>
      <c r="H575" s="25" t="s">
        <v>66</v>
      </c>
      <c r="I575" s="16" t="s">
        <v>104</v>
      </c>
      <c r="J575" s="28" t="s">
        <v>58</v>
      </c>
      <c r="K575" s="16" t="s">
        <v>104</v>
      </c>
      <c r="L575" s="25" t="s">
        <v>53</v>
      </c>
      <c r="M575" s="26">
        <v>12140</v>
      </c>
    </row>
    <row r="576" spans="1:13" x14ac:dyDescent="0.25">
      <c r="C576" s="70"/>
      <c r="D576" s="71"/>
      <c r="E576" s="72"/>
      <c r="F576" s="56"/>
      <c r="G576" s="68"/>
      <c r="H576" s="68"/>
      <c r="I576" s="56"/>
      <c r="J576" s="68"/>
      <c r="K576" s="36"/>
      <c r="L576" s="68"/>
      <c r="M576" s="84"/>
    </row>
    <row r="577" spans="1:13" ht="21" x14ac:dyDescent="0.25">
      <c r="A577" s="37" t="s">
        <v>46</v>
      </c>
      <c r="B577" s="37"/>
      <c r="C577" s="38"/>
      <c r="D577" s="39"/>
      <c r="E577" s="40"/>
      <c r="F577" s="41"/>
      <c r="G577" s="42"/>
      <c r="H577" s="42"/>
      <c r="I577" s="43" t="s">
        <v>1</v>
      </c>
      <c r="J577" s="42">
        <f>COUNT(M579:M581)</f>
        <v>2</v>
      </c>
      <c r="K577" s="83"/>
      <c r="L577" s="44" t="s">
        <v>0</v>
      </c>
      <c r="M577" s="45">
        <f>SUM(M579:M581)</f>
        <v>50000</v>
      </c>
    </row>
    <row r="578" spans="1:13" ht="37.5" x14ac:dyDescent="0.25">
      <c r="A578" s="80"/>
      <c r="B578" s="80"/>
      <c r="C578" s="47" t="s">
        <v>2</v>
      </c>
      <c r="D578" s="48" t="s">
        <v>3</v>
      </c>
      <c r="E578" s="49" t="s">
        <v>4</v>
      </c>
      <c r="F578" s="50" t="s">
        <v>5</v>
      </c>
      <c r="G578" s="51" t="s">
        <v>6</v>
      </c>
      <c r="H578" s="51" t="s">
        <v>7</v>
      </c>
      <c r="I578" s="50" t="s">
        <v>8</v>
      </c>
      <c r="J578" s="50" t="s">
        <v>9</v>
      </c>
      <c r="K578" s="50" t="s">
        <v>10</v>
      </c>
      <c r="L578" s="51" t="s">
        <v>11</v>
      </c>
      <c r="M578" s="52" t="s">
        <v>12</v>
      </c>
    </row>
    <row r="579" spans="1:13" ht="30" x14ac:dyDescent="0.25">
      <c r="C579" s="54">
        <v>42227</v>
      </c>
      <c r="D579" s="9">
        <v>16019</v>
      </c>
      <c r="E579" s="56" t="s">
        <v>262</v>
      </c>
      <c r="F579" s="56" t="s">
        <v>90</v>
      </c>
      <c r="G579" s="57" t="s">
        <v>87</v>
      </c>
      <c r="H579" s="68" t="s">
        <v>88</v>
      </c>
      <c r="I579" s="56" t="s">
        <v>89</v>
      </c>
      <c r="J579" s="68" t="s">
        <v>70</v>
      </c>
      <c r="K579" s="56" t="s">
        <v>104</v>
      </c>
      <c r="L579" s="85" t="s">
        <v>52</v>
      </c>
      <c r="M579" s="69">
        <v>25000</v>
      </c>
    </row>
    <row r="580" spans="1:13" ht="30" x14ac:dyDescent="0.25">
      <c r="C580" s="23">
        <v>42494</v>
      </c>
      <c r="D580" s="34">
        <v>16165</v>
      </c>
      <c r="E580" s="24" t="s">
        <v>262</v>
      </c>
      <c r="F580" s="24" t="s">
        <v>695</v>
      </c>
      <c r="G580" s="25" t="s">
        <v>87</v>
      </c>
      <c r="H580" s="25" t="s">
        <v>88</v>
      </c>
      <c r="I580" s="24" t="s">
        <v>89</v>
      </c>
      <c r="J580" s="25" t="s">
        <v>70</v>
      </c>
      <c r="K580" s="24" t="s">
        <v>104</v>
      </c>
      <c r="L580" s="25" t="s">
        <v>52</v>
      </c>
      <c r="M580" s="26">
        <v>25000</v>
      </c>
    </row>
    <row r="581" spans="1:13" x14ac:dyDescent="0.25">
      <c r="C581" s="70"/>
      <c r="D581" s="71"/>
      <c r="E581" s="72"/>
      <c r="F581" s="56"/>
      <c r="G581" s="68"/>
      <c r="H581" s="68"/>
      <c r="I581" s="56"/>
      <c r="J581" s="68"/>
      <c r="K581" s="36"/>
      <c r="L581" s="68"/>
      <c r="M581" s="84"/>
    </row>
    <row r="582" spans="1:13" ht="21" x14ac:dyDescent="0.25">
      <c r="A582" s="37" t="s">
        <v>47</v>
      </c>
      <c r="B582" s="37"/>
      <c r="C582" s="38"/>
      <c r="D582" s="39"/>
      <c r="E582" s="40"/>
      <c r="F582" s="41"/>
      <c r="G582" s="42"/>
      <c r="H582" s="42"/>
      <c r="I582" s="43" t="s">
        <v>1</v>
      </c>
      <c r="J582" s="42">
        <f>COUNT(M584:M601)</f>
        <v>17</v>
      </c>
      <c r="K582" s="83"/>
      <c r="L582" s="44" t="s">
        <v>0</v>
      </c>
      <c r="M582" s="45">
        <f>SUM(M584:M601)</f>
        <v>1863181.41</v>
      </c>
    </row>
    <row r="583" spans="1:13" ht="37.5" x14ac:dyDescent="0.25">
      <c r="A583" s="80"/>
      <c r="B583" s="80"/>
      <c r="C583" s="47" t="s">
        <v>2</v>
      </c>
      <c r="D583" s="48" t="s">
        <v>3</v>
      </c>
      <c r="E583" s="49" t="s">
        <v>4</v>
      </c>
      <c r="F583" s="50" t="s">
        <v>5</v>
      </c>
      <c r="G583" s="51" t="s">
        <v>6</v>
      </c>
      <c r="H583" s="51" t="s">
        <v>7</v>
      </c>
      <c r="I583" s="50" t="s">
        <v>8</v>
      </c>
      <c r="J583" s="50" t="s">
        <v>9</v>
      </c>
      <c r="K583" s="50" t="s">
        <v>10</v>
      </c>
      <c r="L583" s="51" t="s">
        <v>11</v>
      </c>
      <c r="M583" s="52" t="s">
        <v>12</v>
      </c>
    </row>
    <row r="584" spans="1:13" x14ac:dyDescent="0.25">
      <c r="C584" s="54">
        <v>42212</v>
      </c>
      <c r="D584" s="9">
        <v>16023</v>
      </c>
      <c r="E584" s="56" t="s">
        <v>109</v>
      </c>
      <c r="F584" s="56" t="s">
        <v>248</v>
      </c>
      <c r="G584" s="57" t="s">
        <v>71</v>
      </c>
      <c r="H584" s="68" t="s">
        <v>72</v>
      </c>
      <c r="I584" s="56" t="s">
        <v>96</v>
      </c>
      <c r="J584" s="68" t="s">
        <v>62</v>
      </c>
      <c r="K584" s="56" t="s">
        <v>249</v>
      </c>
      <c r="L584" s="85" t="s">
        <v>52</v>
      </c>
      <c r="M584" s="69">
        <v>216216</v>
      </c>
    </row>
    <row r="585" spans="1:13" ht="45" x14ac:dyDescent="0.25">
      <c r="C585" s="54">
        <v>42207</v>
      </c>
      <c r="D585" s="9">
        <v>13125</v>
      </c>
      <c r="E585" s="56" t="s">
        <v>245</v>
      </c>
      <c r="F585" s="56" t="s">
        <v>246</v>
      </c>
      <c r="G585" s="57" t="s">
        <v>71</v>
      </c>
      <c r="H585" s="68" t="s">
        <v>72</v>
      </c>
      <c r="I585" s="56" t="s">
        <v>96</v>
      </c>
      <c r="J585" s="68" t="s">
        <v>62</v>
      </c>
      <c r="K585" s="56" t="s">
        <v>77</v>
      </c>
      <c r="L585" s="85" t="s">
        <v>52</v>
      </c>
      <c r="M585" s="69">
        <v>251200.9</v>
      </c>
    </row>
    <row r="586" spans="1:13" x14ac:dyDescent="0.25">
      <c r="C586" s="54">
        <v>42247</v>
      </c>
      <c r="D586" s="9">
        <v>16040</v>
      </c>
      <c r="E586" s="56" t="s">
        <v>138</v>
      </c>
      <c r="F586" s="56" t="s">
        <v>293</v>
      </c>
      <c r="G586" s="57" t="s">
        <v>71</v>
      </c>
      <c r="H586" s="68" t="s">
        <v>72</v>
      </c>
      <c r="I586" s="56" t="s">
        <v>139</v>
      </c>
      <c r="J586" s="68" t="s">
        <v>57</v>
      </c>
      <c r="K586" s="56" t="s">
        <v>104</v>
      </c>
      <c r="L586" s="85" t="s">
        <v>52</v>
      </c>
      <c r="M586" s="69">
        <v>100000</v>
      </c>
    </row>
    <row r="587" spans="1:13" x14ac:dyDescent="0.25">
      <c r="C587" s="54">
        <v>42247</v>
      </c>
      <c r="D587" s="9">
        <v>16039</v>
      </c>
      <c r="E587" s="56" t="s">
        <v>200</v>
      </c>
      <c r="F587" s="56" t="s">
        <v>291</v>
      </c>
      <c r="G587" s="57" t="s">
        <v>71</v>
      </c>
      <c r="H587" s="68" t="s">
        <v>72</v>
      </c>
      <c r="I587" s="56" t="s">
        <v>292</v>
      </c>
      <c r="J587" s="68" t="s">
        <v>69</v>
      </c>
      <c r="K587" s="56" t="s">
        <v>104</v>
      </c>
      <c r="L587" s="85" t="s">
        <v>52</v>
      </c>
      <c r="M587" s="69">
        <v>1962</v>
      </c>
    </row>
    <row r="588" spans="1:13" x14ac:dyDescent="0.25">
      <c r="C588" s="29">
        <v>42277</v>
      </c>
      <c r="D588" s="33" t="s">
        <v>434</v>
      </c>
      <c r="E588" s="16" t="s">
        <v>435</v>
      </c>
      <c r="F588" s="16" t="s">
        <v>436</v>
      </c>
      <c r="G588" s="28" t="s">
        <v>71</v>
      </c>
      <c r="H588" s="28" t="s">
        <v>72</v>
      </c>
      <c r="I588" s="16" t="s">
        <v>104</v>
      </c>
      <c r="J588" s="28" t="s">
        <v>58</v>
      </c>
      <c r="K588" s="16" t="s">
        <v>104</v>
      </c>
      <c r="L588" s="28" t="s">
        <v>53</v>
      </c>
      <c r="M588" s="31">
        <v>132.06</v>
      </c>
    </row>
    <row r="589" spans="1:13" x14ac:dyDescent="0.25">
      <c r="C589" s="12">
        <v>42282</v>
      </c>
      <c r="D589" s="32">
        <v>16061</v>
      </c>
      <c r="E589" s="13" t="s">
        <v>442</v>
      </c>
      <c r="F589" s="13" t="s">
        <v>443</v>
      </c>
      <c r="G589" s="14" t="s">
        <v>71</v>
      </c>
      <c r="H589" s="14" t="s">
        <v>72</v>
      </c>
      <c r="I589" s="13" t="s">
        <v>444</v>
      </c>
      <c r="J589" s="14" t="s">
        <v>69</v>
      </c>
      <c r="K589" s="13" t="s">
        <v>104</v>
      </c>
      <c r="L589" s="14" t="s">
        <v>52</v>
      </c>
      <c r="M589" s="15">
        <v>3594</v>
      </c>
    </row>
    <row r="590" spans="1:13" ht="30" x14ac:dyDescent="0.25">
      <c r="C590" s="23">
        <v>42331</v>
      </c>
      <c r="D590" s="34">
        <v>16096</v>
      </c>
      <c r="E590" s="24" t="s">
        <v>532</v>
      </c>
      <c r="F590" s="24" t="s">
        <v>533</v>
      </c>
      <c r="G590" s="25" t="s">
        <v>71</v>
      </c>
      <c r="H590" s="25" t="s">
        <v>72</v>
      </c>
      <c r="I590" s="24" t="s">
        <v>75</v>
      </c>
      <c r="J590" s="25" t="s">
        <v>62</v>
      </c>
      <c r="K590" s="24" t="s">
        <v>104</v>
      </c>
      <c r="L590" s="25" t="s">
        <v>197</v>
      </c>
      <c r="M590" s="26">
        <f>759680*50%</f>
        <v>379840</v>
      </c>
    </row>
    <row r="591" spans="1:13" ht="30" x14ac:dyDescent="0.25">
      <c r="C591" s="23">
        <v>42331</v>
      </c>
      <c r="D591" s="34">
        <v>16096</v>
      </c>
      <c r="E591" s="24" t="s">
        <v>534</v>
      </c>
      <c r="F591" s="24" t="s">
        <v>533</v>
      </c>
      <c r="G591" s="25" t="s">
        <v>71</v>
      </c>
      <c r="H591" s="25" t="s">
        <v>72</v>
      </c>
      <c r="I591" s="24" t="s">
        <v>75</v>
      </c>
      <c r="J591" s="25" t="s">
        <v>62</v>
      </c>
      <c r="K591" s="24" t="s">
        <v>104</v>
      </c>
      <c r="L591" s="25" t="s">
        <v>197</v>
      </c>
      <c r="M591" s="26">
        <f>759680*50%</f>
        <v>379840</v>
      </c>
    </row>
    <row r="592" spans="1:13" ht="45" x14ac:dyDescent="0.25">
      <c r="C592" s="29">
        <v>42341</v>
      </c>
      <c r="D592" s="33">
        <v>13125</v>
      </c>
      <c r="E592" s="16" t="s">
        <v>245</v>
      </c>
      <c r="F592" s="16" t="s">
        <v>246</v>
      </c>
      <c r="G592" s="28" t="s">
        <v>71</v>
      </c>
      <c r="H592" s="28" t="s">
        <v>72</v>
      </c>
      <c r="I592" s="16" t="s">
        <v>96</v>
      </c>
      <c r="J592" s="28" t="s">
        <v>62</v>
      </c>
      <c r="K592" s="16" t="s">
        <v>77</v>
      </c>
      <c r="L592" s="28" t="s">
        <v>52</v>
      </c>
      <c r="M592" s="31">
        <v>8500</v>
      </c>
    </row>
    <row r="593" spans="3:13" ht="45" x14ac:dyDescent="0.25">
      <c r="C593" s="29">
        <v>42353</v>
      </c>
      <c r="D593" s="33">
        <v>13125</v>
      </c>
      <c r="E593" s="16" t="s">
        <v>245</v>
      </c>
      <c r="F593" s="16" t="s">
        <v>246</v>
      </c>
      <c r="G593" s="28" t="s">
        <v>71</v>
      </c>
      <c r="H593" s="28" t="s">
        <v>72</v>
      </c>
      <c r="I593" s="16" t="s">
        <v>96</v>
      </c>
      <c r="J593" s="28" t="s">
        <v>62</v>
      </c>
      <c r="K593" s="16" t="s">
        <v>77</v>
      </c>
      <c r="L593" s="28" t="s">
        <v>52</v>
      </c>
      <c r="M593" s="31">
        <v>6250</v>
      </c>
    </row>
    <row r="594" spans="3:13" x14ac:dyDescent="0.25">
      <c r="C594" s="23">
        <v>42369</v>
      </c>
      <c r="D594" s="34" t="s">
        <v>434</v>
      </c>
      <c r="E594" s="24" t="s">
        <v>435</v>
      </c>
      <c r="F594" s="24" t="s">
        <v>436</v>
      </c>
      <c r="G594" s="25" t="s">
        <v>71</v>
      </c>
      <c r="H594" s="25" t="s">
        <v>72</v>
      </c>
      <c r="I594" s="24" t="s">
        <v>104</v>
      </c>
      <c r="J594" s="25" t="s">
        <v>58</v>
      </c>
      <c r="K594" s="24" t="s">
        <v>104</v>
      </c>
      <c r="L594" s="25" t="s">
        <v>53</v>
      </c>
      <c r="M594" s="26">
        <v>8.4600000000000009</v>
      </c>
    </row>
    <row r="595" spans="3:13" ht="30" x14ac:dyDescent="0.25">
      <c r="C595" s="23">
        <v>42373</v>
      </c>
      <c r="D595" s="34">
        <v>16119</v>
      </c>
      <c r="E595" s="24" t="s">
        <v>109</v>
      </c>
      <c r="F595" s="24" t="s">
        <v>573</v>
      </c>
      <c r="G595" s="25" t="s">
        <v>71</v>
      </c>
      <c r="H595" s="25" t="s">
        <v>72</v>
      </c>
      <c r="I595" s="24" t="s">
        <v>574</v>
      </c>
      <c r="J595" s="25" t="s">
        <v>69</v>
      </c>
      <c r="K595" s="24" t="s">
        <v>104</v>
      </c>
      <c r="L595" s="25" t="s">
        <v>54</v>
      </c>
      <c r="M595" s="26">
        <v>2600</v>
      </c>
    </row>
    <row r="596" spans="3:13" x14ac:dyDescent="0.25">
      <c r="C596" s="23">
        <v>42475</v>
      </c>
      <c r="D596" s="34">
        <v>16167</v>
      </c>
      <c r="E596" s="24" t="s">
        <v>680</v>
      </c>
      <c r="F596" s="24" t="s">
        <v>681</v>
      </c>
      <c r="G596" s="25" t="s">
        <v>71</v>
      </c>
      <c r="H596" s="25" t="s">
        <v>72</v>
      </c>
      <c r="I596" s="24" t="s">
        <v>96</v>
      </c>
      <c r="J596" s="25" t="s">
        <v>62</v>
      </c>
      <c r="K596" s="24" t="s">
        <v>104</v>
      </c>
      <c r="L596" s="25" t="s">
        <v>52</v>
      </c>
      <c r="M596" s="26">
        <v>236000</v>
      </c>
    </row>
    <row r="597" spans="3:13" ht="30" x14ac:dyDescent="0.25">
      <c r="C597" s="23">
        <v>42506</v>
      </c>
      <c r="D597" s="34">
        <v>16175</v>
      </c>
      <c r="E597" s="24" t="s">
        <v>709</v>
      </c>
      <c r="F597" s="24" t="s">
        <v>710</v>
      </c>
      <c r="G597" s="25" t="s">
        <v>71</v>
      </c>
      <c r="H597" s="25" t="s">
        <v>72</v>
      </c>
      <c r="I597" s="24" t="s">
        <v>704</v>
      </c>
      <c r="J597" s="25" t="s">
        <v>62</v>
      </c>
      <c r="K597" s="24" t="s">
        <v>711</v>
      </c>
      <c r="L597" s="25" t="s">
        <v>52</v>
      </c>
      <c r="M597" s="26">
        <v>2500</v>
      </c>
    </row>
    <row r="598" spans="3:13" ht="30" x14ac:dyDescent="0.25">
      <c r="C598" s="23">
        <v>42495</v>
      </c>
      <c r="D598" s="34">
        <v>16176</v>
      </c>
      <c r="E598" s="24" t="s">
        <v>680</v>
      </c>
      <c r="F598" s="24" t="s">
        <v>697</v>
      </c>
      <c r="G598" s="25" t="s">
        <v>71</v>
      </c>
      <c r="H598" s="25" t="s">
        <v>72</v>
      </c>
      <c r="I598" s="24" t="s">
        <v>89</v>
      </c>
      <c r="J598" s="25" t="s">
        <v>70</v>
      </c>
      <c r="K598" s="24" t="s">
        <v>104</v>
      </c>
      <c r="L598" s="25" t="s">
        <v>52</v>
      </c>
      <c r="M598" s="26">
        <v>25000</v>
      </c>
    </row>
    <row r="599" spans="3:13" ht="45" x14ac:dyDescent="0.25">
      <c r="C599" s="29">
        <v>42542</v>
      </c>
      <c r="D599" s="33">
        <v>13125</v>
      </c>
      <c r="E599" s="16" t="s">
        <v>245</v>
      </c>
      <c r="F599" s="16" t="s">
        <v>246</v>
      </c>
      <c r="G599" s="28" t="s">
        <v>71</v>
      </c>
      <c r="H599" s="28" t="s">
        <v>72</v>
      </c>
      <c r="I599" s="16" t="s">
        <v>96</v>
      </c>
      <c r="J599" s="28" t="s">
        <v>62</v>
      </c>
      <c r="K599" s="16" t="s">
        <v>77</v>
      </c>
      <c r="L599" s="28" t="s">
        <v>52</v>
      </c>
      <c r="M599" s="31">
        <v>248733</v>
      </c>
    </row>
    <row r="600" spans="3:13" x14ac:dyDescent="0.25">
      <c r="C600" s="29">
        <v>42551</v>
      </c>
      <c r="D600" s="34" t="s">
        <v>434</v>
      </c>
      <c r="E600" s="24" t="s">
        <v>435</v>
      </c>
      <c r="F600" s="24" t="s">
        <v>735</v>
      </c>
      <c r="G600" s="25" t="s">
        <v>71</v>
      </c>
      <c r="H600" s="25" t="s">
        <v>72</v>
      </c>
      <c r="I600" s="16" t="s">
        <v>104</v>
      </c>
      <c r="J600" s="28" t="s">
        <v>58</v>
      </c>
      <c r="K600" s="16" t="s">
        <v>104</v>
      </c>
      <c r="L600" s="25" t="s">
        <v>53</v>
      </c>
      <c r="M600" s="26">
        <v>804.99</v>
      </c>
    </row>
    <row r="601" spans="3:13" x14ac:dyDescent="0.25">
      <c r="C601" s="70"/>
      <c r="D601" s="71"/>
      <c r="E601" s="72"/>
      <c r="F601" s="56"/>
      <c r="G601" s="68"/>
      <c r="H601" s="68"/>
      <c r="I601" s="56"/>
      <c r="J601" s="68"/>
      <c r="K601" s="36"/>
      <c r="L601" s="68"/>
      <c r="M601" s="86"/>
    </row>
  </sheetData>
  <sortState ref="C571:O603">
    <sortCondition ref="H571:H603"/>
    <sortCondition ref="G571:G603"/>
    <sortCondition ref="E571:E603"/>
    <sortCondition ref="D571:D603"/>
  </sortState>
  <mergeCells count="1">
    <mergeCell ref="A1:M1"/>
  </mergeCells>
  <dataValidations count="6">
    <dataValidation type="list" allowBlank="1" showInputMessage="1" showErrorMessage="1" sqref="L378 L200 L588 L492:L495 L196 L392:L395 L46:L48 L52:L54 L564:L567 L228:L304 L178:L185 L383:L388 L400:L406 L580 L358:L371 L113:L167 L189:L192 L204:L206 L307:L316 L320:L327 L334:L349 L35:L39 L17:L31 L99:L104 L61:L86 L538:L560 L572:L575 L411:L416 L522:L528 L455:L472 L477:L488 L499:L508 L421:L450 L511:L518 L600 L590:L599">
      <formula1>Use</formula1>
    </dataValidation>
    <dataValidation type="list" allowBlank="1" showInputMessage="1" showErrorMessage="1" sqref="J378 J200 J588 J492:J495 J196 K589 J392:J395 J46:J48 J52:J54 J564:J567 J228:J304 J178:J185 J383:J388 J400:J406 J580 J358:J371 J113:J167 J189:J192 J204:J206 J307:J316 J320:J327 J334:J349 J35:J39 J17:J31 J99:J104 J61:J86 J538:J560 J572:J575 J411:J416 J522:J528 J455:J472 J477:J488 J499:J508 J421:J450 J511:J518 J600 J590:J599">
      <formula1>AgencyType</formula1>
    </dataValidation>
    <dataValidation type="list" allowBlank="1" showInputMessage="1" showErrorMessage="1" sqref="I378 K378 K200 I200 I588 K588 K492:K495 I492:I495 I196 K196 L589 J589 I392:I395 K392:K395 I46:I48 K46:K48 K52:K54 I52:I54 K564:K567 I564:I567 K228:K304 I228:I304 I178:I185 K178:K185 I383:I388 K383:K388 I400:I405 K400:K406 K580 K113:K157 K358:K371 I358:I371 K159:K167 I113:I167 I189:I192 K189:K192 K204:K206 I204:I206 I307:I316 K307:K316 K320:K327 I320:I327 K334:K349 I334:I349 K35:K39 I35:I39 I17:I31 K17:K31 I99:I104 K99:K104 K61:K86 I61:I86 I538:I560 K538:K560 K572:K575 I572:I575 I411:I416 K411:K416 K522:K528 I522:I528 I455:I472 K455:K472 K477:K488 I477:I488 K499:K508 I499:I508 I421:I450 K421:K450 K511:K518 K600 I511:I518 I600 K590:K599 I590:I599">
      <formula1>Agency</formula1>
    </dataValidation>
    <dataValidation type="list" allowBlank="1" showInputMessage="1" showErrorMessage="1" sqref="H378 H200 H588 H492:H495 H196 I589 H228:H272 H334:H337 H17:H19 H35:H36 H392 H395 H400:H402 H522:H524 H421:H435 H477:H480 H590:H594 H113:H135 H178:H181 H46 H52:H53 H383:H385 H189:H190 H320:H322 H358:H363 H61:H71 H99:H101 H538:H544 H572 H411:H413 H455:H464 H499:H503 H511:H514 H564:H567 H183:H185 H387:H388 H405:H406 H580 H366:H371 H147:H167 H192 H204:H206 H303:H316 H324:H327 H349 H39 H31 H104 H77:H86 H548:H560 H574:H575 H415:H416 H527:H528 H469:H472 H486:H488 H506:H508 H446:H450 H517:H518 H600 H596:H599">
      <formula1>College</formula1>
    </dataValidation>
    <dataValidation type="list" allowBlank="1" showInputMessage="1" showErrorMessage="1" sqref="G378 G200 G588 G492:G495 G196 H589 G392:G395 G46:G48 G52:G54 G564:G567 G178:G185 G383:G388 G400:G406 G580 G358:G371 G113:G167 G189:G192 G204:G206 G228:G316 G320:G327 G334:G349 G35:G39 G17:G31 G99:G104 G61:G86 G538:G560 G572:G575 G411:G416 G522:G528 G455:G472 G477:G488 G499:G508 G421:G450 G511:G518 G600 G590:G599">
      <formula1>Dept</formula1>
    </dataValidation>
    <dataValidation type="list" allowBlank="1" showInputMessage="1" showErrorMessage="1" sqref="E378 E200 E588 E492:E495 E196 F589 E392:E395 E46:E48 E52:E54 E564:E567 E178:E185 E383:E388 E400:E406 E580 E358:E371 E113:E167 E189:E192 E204:E206 E228:E316 E320:E327 E334:E349 E35:E39 E17:E31 E99:E104 E61:E86 E538:E560 E572:E575 E411:E416 E522:E528 E455:E472 E477:E488 E499:E508 E421:E450 E511:E518 E600 E590:E599">
      <formula1>PI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'[2]Dept-Colleges'!#REF!</xm:f>
          </x14:formula1>
          <xm:sqref>H393:H394 H47:H48 H54 H545:H547 H573 H136:H146 H273:H302 H72:H76 H403:H404 H436:H445 H595 H481:H485 H182 H323 H364:H365 H386 H414 H515:H516 H525:H526 H465:H468 H191 H338:H348 H37:H38 H20:H30 H102:H103 H504:H505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Submissions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Zordell-Reed, Marina C</dc:creator>
  <cp:lastModifiedBy>Loveland, Marina C</cp:lastModifiedBy>
  <cp:lastPrinted>2016-07-26T14:54:48Z</cp:lastPrinted>
  <dcterms:created xsi:type="dcterms:W3CDTF">2014-09-19T20:02:18Z</dcterms:created>
  <dcterms:modified xsi:type="dcterms:W3CDTF">2018-01-08T16:45:07Z</dcterms:modified>
</cp:coreProperties>
</file>