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310"/>
  </bookViews>
  <sheets>
    <sheet name="Submitted" sheetId="1" r:id="rId1"/>
  </sheets>
  <calcPr calcId="145621"/>
</workbook>
</file>

<file path=xl/calcChain.xml><?xml version="1.0" encoding="utf-8"?>
<calcChain xmlns="http://schemas.openxmlformats.org/spreadsheetml/2006/main">
  <c r="J466" i="1" l="1"/>
  <c r="J463" i="1"/>
  <c r="J462" i="1"/>
  <c r="J454" i="1"/>
  <c r="J437" i="1"/>
  <c r="J436" i="1"/>
  <c r="J435" i="1"/>
  <c r="J434" i="1"/>
  <c r="J433" i="1"/>
  <c r="J431" i="1"/>
  <c r="J430" i="1"/>
  <c r="J427" i="1"/>
  <c r="J426" i="1"/>
  <c r="J425" i="1"/>
  <c r="J424" i="1"/>
  <c r="J423" i="1"/>
  <c r="J422" i="1"/>
  <c r="J421" i="1"/>
  <c r="J420" i="1"/>
  <c r="J417" i="1"/>
  <c r="J407" i="1" s="1"/>
  <c r="J416" i="1"/>
  <c r="J388" i="1"/>
  <c r="J387" i="1"/>
  <c r="J381" i="1"/>
  <c r="J379" i="1"/>
  <c r="J378" i="1"/>
  <c r="J377" i="1"/>
  <c r="J374" i="1"/>
  <c r="J373" i="1"/>
  <c r="J372" i="1"/>
  <c r="J369" i="1"/>
  <c r="J366" i="1" s="1"/>
  <c r="J360" i="1"/>
  <c r="J354" i="1"/>
  <c r="J350" i="1"/>
  <c r="J346" i="1"/>
  <c r="J345" i="1"/>
  <c r="J343" i="1"/>
  <c r="J342" i="1"/>
  <c r="J341" i="1"/>
  <c r="J340" i="1"/>
  <c r="J339" i="1"/>
  <c r="J336" i="1"/>
  <c r="J320" i="1"/>
  <c r="J319" i="1"/>
  <c r="J318" i="1"/>
  <c r="J317" i="1"/>
  <c r="J316" i="1"/>
  <c r="J315" i="1"/>
  <c r="J314" i="1"/>
  <c r="J305" i="1"/>
  <c r="J302" i="1"/>
  <c r="J301" i="1"/>
  <c r="J295" i="1"/>
  <c r="J293" i="1"/>
  <c r="J292" i="1"/>
  <c r="J290" i="1"/>
  <c r="J289" i="1"/>
  <c r="J288" i="1"/>
  <c r="J287" i="1"/>
  <c r="J283" i="1"/>
  <c r="J281" i="1"/>
  <c r="J280" i="1"/>
  <c r="J279" i="1"/>
  <c r="J278" i="1"/>
  <c r="J277" i="1"/>
  <c r="J276" i="1"/>
  <c r="J270" i="1"/>
  <c r="J267" i="1"/>
  <c r="J266" i="1"/>
  <c r="J265" i="1"/>
  <c r="J259" i="1"/>
  <c r="J257" i="1"/>
  <c r="J256" i="1"/>
  <c r="J255" i="1"/>
  <c r="J254" i="1"/>
  <c r="J253" i="1"/>
  <c r="J252" i="1"/>
  <c r="J251" i="1"/>
  <c r="J250" i="1"/>
  <c r="J235" i="1"/>
  <c r="J234" i="1"/>
  <c r="J233" i="1"/>
  <c r="J232" i="1"/>
  <c r="J221" i="1"/>
  <c r="J211" i="1" s="1"/>
  <c r="J193" i="1"/>
  <c r="J190" i="1"/>
  <c r="J189" i="1"/>
  <c r="J187" i="1"/>
  <c r="J185" i="1"/>
  <c r="J184" i="1"/>
  <c r="J181" i="1"/>
  <c r="J180" i="1"/>
  <c r="J178" i="1"/>
  <c r="J177" i="1"/>
  <c r="J176" i="1"/>
  <c r="J175" i="1"/>
  <c r="J174" i="1"/>
  <c r="J173" i="1"/>
  <c r="J172" i="1"/>
  <c r="J171" i="1"/>
  <c r="J170" i="1"/>
  <c r="J168" i="1"/>
  <c r="J167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1" i="1" s="1"/>
  <c r="J147" i="1"/>
  <c r="J146" i="1"/>
  <c r="J144" i="1"/>
  <c r="J132" i="1"/>
  <c r="J131" i="1"/>
  <c r="J130" i="1"/>
  <c r="J129" i="1"/>
  <c r="J128" i="1"/>
  <c r="J127" i="1"/>
  <c r="J126" i="1"/>
  <c r="J112" i="1"/>
  <c r="J111" i="1"/>
  <c r="J110" i="1"/>
  <c r="J109" i="1"/>
  <c r="J108" i="1"/>
  <c r="J107" i="1"/>
  <c r="J106" i="1"/>
  <c r="J105" i="1"/>
  <c r="J104" i="1"/>
  <c r="J103" i="1"/>
  <c r="J102" i="1"/>
  <c r="J97" i="1" s="1"/>
  <c r="J91" i="1"/>
  <c r="J81" i="1"/>
  <c r="J80" i="1"/>
  <c r="J79" i="1"/>
  <c r="J74" i="1"/>
  <c r="J73" i="1"/>
  <c r="J66" i="1"/>
  <c r="J65" i="1"/>
  <c r="J63" i="1"/>
  <c r="J62" i="1"/>
  <c r="J61" i="1"/>
  <c r="J48" i="1" s="1"/>
  <c r="J60" i="1"/>
  <c r="J59" i="1"/>
  <c r="J47" i="1"/>
  <c r="J25" i="1" s="1"/>
  <c r="J46" i="1"/>
  <c r="J31" i="1"/>
  <c r="J8" i="1"/>
  <c r="J4" i="1"/>
  <c r="J1" i="1" l="1"/>
</calcChain>
</file>

<file path=xl/sharedStrings.xml><?xml version="1.0" encoding="utf-8"?>
<sst xmlns="http://schemas.openxmlformats.org/spreadsheetml/2006/main" count="3552" uniqueCount="866">
  <si>
    <t>Missouri State University</t>
  </si>
  <si>
    <t>FY 2012 University Requested Funding:</t>
  </si>
  <si>
    <t>Administrative and Information Services</t>
  </si>
  <si>
    <t>Cost Center Requested:</t>
  </si>
  <si>
    <t>SRP#</t>
  </si>
  <si>
    <t>P.I.s</t>
  </si>
  <si>
    <t>Unit</t>
  </si>
  <si>
    <t>Cost Center</t>
  </si>
  <si>
    <t>Agency</t>
  </si>
  <si>
    <t>Title</t>
  </si>
  <si>
    <t>Agency Type</t>
  </si>
  <si>
    <t>Use</t>
  </si>
  <si>
    <t>Requested Funding</t>
  </si>
  <si>
    <t>12026</t>
  </si>
  <si>
    <t>Sampson, D</t>
  </si>
  <si>
    <t>DC</t>
  </si>
  <si>
    <t>AIS</t>
  </si>
  <si>
    <t>Missouri Department of Transportation</t>
  </si>
  <si>
    <t>DARR Intersection</t>
  </si>
  <si>
    <t>State</t>
  </si>
  <si>
    <t>Construction</t>
  </si>
  <si>
    <t>College of Arts and Letters</t>
  </si>
  <si>
    <t>N/A</t>
  </si>
  <si>
    <t>Berquist, C</t>
  </si>
  <si>
    <t>CDR</t>
  </si>
  <si>
    <t>COAL</t>
  </si>
  <si>
    <t>2nd Quarter B Account Income</t>
  </si>
  <si>
    <t>Other</t>
  </si>
  <si>
    <t>Service</t>
  </si>
  <si>
    <t>1st Quarter B Account Income</t>
  </si>
  <si>
    <t>3rd Quarter B Account Income</t>
  </si>
  <si>
    <t>10179</t>
  </si>
  <si>
    <t>U.S. Department of Justice via Missouri Department of Public Safety</t>
  </si>
  <si>
    <t>Networks for Girls - A Family Group Conferencing and Girls Circle Program</t>
  </si>
  <si>
    <t>Federal</t>
  </si>
  <si>
    <t>4th Quarter B Account Income</t>
  </si>
  <si>
    <t>08044</t>
  </si>
  <si>
    <t>Franklin, K</t>
  </si>
  <si>
    <t>ENG</t>
  </si>
  <si>
    <t>National Writing Project Corporation</t>
  </si>
  <si>
    <t>Ozarks Writing Project - Amendment 8</t>
  </si>
  <si>
    <t>Education</t>
  </si>
  <si>
    <t>Ozarks Writing Project - Amendment 9</t>
  </si>
  <si>
    <t>12036</t>
  </si>
  <si>
    <t>Moser, L</t>
  </si>
  <si>
    <t>National Endowment for the Humanities</t>
  </si>
  <si>
    <t>What is the Relationship Between Humans and the Environment?</t>
  </si>
  <si>
    <t>12004</t>
  </si>
  <si>
    <t>MODESE</t>
  </si>
  <si>
    <t>Implementing Digital Writing Standards Toward the Common Core</t>
  </si>
  <si>
    <t>12030</t>
  </si>
  <si>
    <t>Missouri Department of Elementary and Secondary Education</t>
  </si>
  <si>
    <t>Missouri Writing Projects Network - Ozarks Writing Project</t>
  </si>
  <si>
    <t>Ozarks Writing Project's Teacher Leadership Development Program</t>
  </si>
  <si>
    <t>National Writing Project</t>
  </si>
  <si>
    <t>12192</t>
  </si>
  <si>
    <t>Castrey, R</t>
  </si>
  <si>
    <t>MFAA</t>
  </si>
  <si>
    <t>Missouri Fine Arts Academy</t>
  </si>
  <si>
    <t>12126</t>
  </si>
  <si>
    <t>Barnes, R</t>
  </si>
  <si>
    <t>TD</t>
  </si>
  <si>
    <t>Missouri Arts Council</t>
  </si>
  <si>
    <t>Homing/In - 2012 Spring Dance Concert (87 Dance Productions)</t>
  </si>
  <si>
    <t>12051</t>
  </si>
  <si>
    <t>Modern American Dance Company (MADCO)</t>
  </si>
  <si>
    <t>College of Business Administration</t>
  </si>
  <si>
    <t>12089</t>
  </si>
  <si>
    <t>Byrd, S</t>
  </si>
  <si>
    <t>ACC</t>
  </si>
  <si>
    <t>COBA</t>
  </si>
  <si>
    <t>Walmart Foundation via United Way</t>
  </si>
  <si>
    <t>Volunteer Income Tax Assistance (VITA) Across the Life Span (ATLS) Program</t>
  </si>
  <si>
    <t>Non-Profit</t>
  </si>
  <si>
    <t>Education/Service</t>
  </si>
  <si>
    <t>07002</t>
  </si>
  <si>
    <t>U.S. Department of the Treasury</t>
  </si>
  <si>
    <t>Low Income Tax Clinic</t>
  </si>
  <si>
    <t>12190</t>
  </si>
  <si>
    <t>12092</t>
  </si>
  <si>
    <t>Bryant, S</t>
  </si>
  <si>
    <t>Missouri Department of Higher Education</t>
  </si>
  <si>
    <t>Missouri Innovation Academy</t>
  </si>
  <si>
    <t>Education/Student Support</t>
  </si>
  <si>
    <t>07169</t>
  </si>
  <si>
    <t>Meinert, D</t>
  </si>
  <si>
    <t>International Management Education Center (IMEC)</t>
  </si>
  <si>
    <t>China EMBA Cohort 11</t>
  </si>
  <si>
    <t>Business</t>
  </si>
  <si>
    <t>China EMBA Cohort 12</t>
  </si>
  <si>
    <t>12123</t>
  </si>
  <si>
    <t>St. John's Health System</t>
  </si>
  <si>
    <t>Mercy (St. John's) EMHA Cohort 1</t>
  </si>
  <si>
    <t>China EMBA Cohort 10</t>
  </si>
  <si>
    <t>Anderson, R</t>
  </si>
  <si>
    <t>MDI</t>
  </si>
  <si>
    <t>12096</t>
  </si>
  <si>
    <t>Cofer, J</t>
  </si>
  <si>
    <t>MKT</t>
  </si>
  <si>
    <t>Association for Institutional Research</t>
  </si>
  <si>
    <t>Are 'Educational Mortgages' Underwater? The Impact of Debtload on Student Decisions</t>
  </si>
  <si>
    <t>Research</t>
  </si>
  <si>
    <t>11093</t>
  </si>
  <si>
    <t>SBTDC</t>
  </si>
  <si>
    <t>U.S. Small Business Administration via MU</t>
  </si>
  <si>
    <t>SBA Jobs Proposal</t>
  </si>
  <si>
    <t>3rd Quarter Income Account</t>
  </si>
  <si>
    <t>2nd Quarter Income Account</t>
  </si>
  <si>
    <t>1st Quarter Income Account</t>
  </si>
  <si>
    <t>VPRED</t>
  </si>
  <si>
    <t>Small Business &amp; Technology Development Center</t>
  </si>
  <si>
    <t>12110</t>
  </si>
  <si>
    <t>Gebken, R</t>
  </si>
  <si>
    <t>TCM</t>
  </si>
  <si>
    <t>National Science Foundation</t>
  </si>
  <si>
    <t>MRI: Acquisition of an Immersive Virtual Environment System to Support Research in the Built Environment</t>
  </si>
  <si>
    <t>Equipment</t>
  </si>
  <si>
    <t>Slattery, K</t>
  </si>
  <si>
    <t>College of Education</t>
  </si>
  <si>
    <t>12140</t>
  </si>
  <si>
    <t>Hallgren, D</t>
  </si>
  <si>
    <t>CDC</t>
  </si>
  <si>
    <t>COE</t>
  </si>
  <si>
    <t>Missouri Department of Health and Senior Services</t>
  </si>
  <si>
    <t>Missouri Eat Smart Child Care</t>
  </si>
  <si>
    <t>12139</t>
  </si>
  <si>
    <t>Child and Adult Care Food Program</t>
  </si>
  <si>
    <t>12093</t>
  </si>
  <si>
    <t>Cemore Brigden, J</t>
  </si>
  <si>
    <t>CEFS</t>
  </si>
  <si>
    <t>Insitute of Museum and Library Services</t>
  </si>
  <si>
    <t>Discovery Center Outreach</t>
  </si>
  <si>
    <t>11066</t>
  </si>
  <si>
    <t>Cemore Brigdon, J</t>
  </si>
  <si>
    <t>Missouri Department of Elementary and Secondary Education (MO DESE)</t>
  </si>
  <si>
    <t>Child Care Enhancement for Infants, Toddlers and Twos at MSU Child Development Center</t>
  </si>
  <si>
    <t>12083</t>
  </si>
  <si>
    <t>Aram, R</t>
  </si>
  <si>
    <t>Early Elementary Environmental Education - A Field Based Approach</t>
  </si>
  <si>
    <t>Hamby, D</t>
  </si>
  <si>
    <t>Wood, G</t>
  </si>
  <si>
    <t>12082</t>
  </si>
  <si>
    <t>Piccolo, D</t>
  </si>
  <si>
    <t>Transforming Mathematics Instruction Using Inquiry and One-to-One Environments (TRIM I+121)</t>
  </si>
  <si>
    <t>12101</t>
  </si>
  <si>
    <t>Transform and Assess Mathematics Instruction in a One-to-One Technology Environment</t>
  </si>
  <si>
    <t>Kaboom</t>
  </si>
  <si>
    <t>Creativity, Perceptions, and Group Dynamics With Macro Play Blocks</t>
  </si>
  <si>
    <t>04179</t>
  </si>
  <si>
    <t>Arthaud, T</t>
  </si>
  <si>
    <t>CLSE</t>
  </si>
  <si>
    <t>Blindness Skills Specialist</t>
  </si>
  <si>
    <t>Shermer, A</t>
  </si>
  <si>
    <t>05003</t>
  </si>
  <si>
    <t>Kear, D</t>
  </si>
  <si>
    <t>Project ACCESS</t>
  </si>
  <si>
    <t>05091</t>
  </si>
  <si>
    <t>Lehmann, T</t>
  </si>
  <si>
    <t>Missouri Assistive Technology</t>
  </si>
  <si>
    <t>MoAT Demonstration Center Grant</t>
  </si>
  <si>
    <t>12099</t>
  </si>
  <si>
    <t>National Science Foundation via Nixa Public Schools</t>
  </si>
  <si>
    <t>John Thomas School of Discovery STEM Project</t>
  </si>
  <si>
    <t>12135</t>
  </si>
  <si>
    <t>Farris, R</t>
  </si>
  <si>
    <t>CPC</t>
  </si>
  <si>
    <t>12020</t>
  </si>
  <si>
    <t>Sell, G</t>
  </si>
  <si>
    <t>ISI</t>
  </si>
  <si>
    <t>U.S. Department of Education</t>
  </si>
  <si>
    <t>Developing the Collective Capacity of Rural School Disctricts to Improve Literacy Learning</t>
  </si>
  <si>
    <t>Brown, D</t>
  </si>
  <si>
    <t>Sell, R</t>
  </si>
  <si>
    <t xml:space="preserve">Mann, M </t>
  </si>
  <si>
    <t>MPP</t>
  </si>
  <si>
    <t>Mann, M</t>
  </si>
  <si>
    <t>REC</t>
  </si>
  <si>
    <t>09074</t>
  </si>
  <si>
    <t>Cutbirth, S</t>
  </si>
  <si>
    <t>SWRPDC</t>
  </si>
  <si>
    <t>Southwest Regional Professional Development Center Consolidated Contract</t>
  </si>
  <si>
    <t>College of Health and Human Services</t>
  </si>
  <si>
    <t>12048</t>
  </si>
  <si>
    <t>Kwon, S</t>
  </si>
  <si>
    <t>BMS</t>
  </si>
  <si>
    <t>CHHS</t>
  </si>
  <si>
    <t>Fooservice Systems Management Education Council</t>
  </si>
  <si>
    <t>Investigation on Students' Perspective on Service Learning Experience, Attitudes, Learning Outcomes, and Needs for Service Learning in Didactic Programs in Dietetics</t>
  </si>
  <si>
    <t>12161</t>
  </si>
  <si>
    <t>Director of Student Evaluations of the Learning Outcomes, Experiences, Attitudes, and the Need for Service-Learning in Didactic Programs in Dietetics</t>
  </si>
  <si>
    <t>12129</t>
  </si>
  <si>
    <t>Garrad, R</t>
  </si>
  <si>
    <t>National Institutes of Health</t>
  </si>
  <si>
    <t>Anti-Cancer RNA Nanoconjugates</t>
  </si>
  <si>
    <t>12109</t>
  </si>
  <si>
    <t>Witkowski, C</t>
  </si>
  <si>
    <t>MRI-RUI: Acquisition of a Fluoview 1000s Spectral SIM Confocal Microscope to Expand Collaborative Research &amp; Teaching Potential at MSU</t>
  </si>
  <si>
    <t>Delong, R</t>
  </si>
  <si>
    <t>12063</t>
  </si>
  <si>
    <t>DeLong, R</t>
  </si>
  <si>
    <t>RUI: Exploring the Paradox of Novel RNA Nanobioconjugates and their Interactions with Manganese and Zinc Oxide</t>
  </si>
  <si>
    <t>12049</t>
  </si>
  <si>
    <t>Timson, B</t>
  </si>
  <si>
    <t>Dose-response of Exercise Training on Amyloid-beta Metabolism, Amyloid Plaque, and Behavior in Tg2576 Mice</t>
  </si>
  <si>
    <t>Zimmerman, S</t>
  </si>
  <si>
    <t>10076</t>
  </si>
  <si>
    <t>DiSarno, N</t>
  </si>
  <si>
    <t>CSD</t>
  </si>
  <si>
    <t>Universal Newborn Hearing Screening-Reducing Loss to Follow-up</t>
  </si>
  <si>
    <t>12146</t>
  </si>
  <si>
    <t>Grbac, Kris</t>
  </si>
  <si>
    <t>Grbac, K</t>
  </si>
  <si>
    <t>Masterson, J</t>
  </si>
  <si>
    <t>National Institutes of Health via Learning By Design</t>
  </si>
  <si>
    <t>The Development Test for Reading Fluency and Spelling</t>
  </si>
  <si>
    <t>11026</t>
  </si>
  <si>
    <t>Wang, Y</t>
  </si>
  <si>
    <t>Institute of Education Sciences</t>
  </si>
  <si>
    <t>Center of Reading Instruction for Students who are Deaf or Hard of Hearing</t>
  </si>
  <si>
    <t>Oswalt, J</t>
  </si>
  <si>
    <t>02066</t>
  </si>
  <si>
    <t>Audiology Consultant - Newborn Hearing Screening</t>
  </si>
  <si>
    <t>09018</t>
  </si>
  <si>
    <t>Engler, K</t>
  </si>
  <si>
    <t>Cochlear Implant Consultation</t>
  </si>
  <si>
    <t>09176</t>
  </si>
  <si>
    <t>Wang, Ye</t>
  </si>
  <si>
    <t>Deaf/HH On-line Community of Practice Year 4</t>
  </si>
  <si>
    <t>Hetzler, T</t>
  </si>
  <si>
    <t>MSMC</t>
  </si>
  <si>
    <t>12066</t>
  </si>
  <si>
    <t>Hope, K</t>
  </si>
  <si>
    <t>NUR</t>
  </si>
  <si>
    <t>MSU BSN Capacity Initiative</t>
  </si>
  <si>
    <t>12162</t>
  </si>
  <si>
    <t>U.S. Department of Health and Human Services - Health Resources and Services Administration</t>
  </si>
  <si>
    <t>Missouri State University Application for Nursing Traineeship 2011-2012</t>
  </si>
  <si>
    <t>12144</t>
  </si>
  <si>
    <t>Dodge, S</t>
  </si>
  <si>
    <t>PAS</t>
  </si>
  <si>
    <t>Missouri Foundation for Health</t>
  </si>
  <si>
    <t>Physician Assistants for Rural Missouris (PARMO)</t>
  </si>
  <si>
    <t>Cleveland, T</t>
  </si>
  <si>
    <t>Canales, R</t>
  </si>
  <si>
    <t>Giboney, S</t>
  </si>
  <si>
    <t>11087</t>
  </si>
  <si>
    <t>Sanchez, V</t>
  </si>
  <si>
    <t>PH</t>
  </si>
  <si>
    <t>Healthy Living Alliance (subcontract)</t>
  </si>
  <si>
    <t>Federman, E</t>
  </si>
  <si>
    <t>12046</t>
  </si>
  <si>
    <t>DHSS Missouri Abstinence Education Grant Program: Missouri State University Master of Public Health Program</t>
  </si>
  <si>
    <t>12108</t>
  </si>
  <si>
    <t>Claborn, D</t>
  </si>
  <si>
    <t>U.S. Department of Housing and Urban Development</t>
  </si>
  <si>
    <t>Predicting Health Hazards in Empty or Abandoned Housing: A Proposed Model to Facilitate Hazard Mitigation</t>
  </si>
  <si>
    <t>Caps, S</t>
  </si>
  <si>
    <t>PS</t>
  </si>
  <si>
    <t>PSY</t>
  </si>
  <si>
    <t>SLHC</t>
  </si>
  <si>
    <t>SMAT</t>
  </si>
  <si>
    <t>12100</t>
  </si>
  <si>
    <t>Hudson, M</t>
  </si>
  <si>
    <t>Mid-America Athletic Trainers' Association</t>
  </si>
  <si>
    <t>Metacognition/Self-Recognition Development and Self-Determination: A Comparative Study of AT Students</t>
  </si>
  <si>
    <t>12132</t>
  </si>
  <si>
    <t>Drury University</t>
  </si>
  <si>
    <t>Graduate Assistantship Funding</t>
  </si>
  <si>
    <t>Student Support</t>
  </si>
  <si>
    <t>12024</t>
  </si>
  <si>
    <t>Mercy St. John's Sports Medicine</t>
  </si>
  <si>
    <t>Dollar, S</t>
  </si>
  <si>
    <t>SWK</t>
  </si>
  <si>
    <t>Day, M</t>
  </si>
  <si>
    <t>John A. Hartford Foundation</t>
  </si>
  <si>
    <t>Functional Health Literacy Training</t>
  </si>
  <si>
    <t>12012</t>
  </si>
  <si>
    <t>McClennen, J</t>
  </si>
  <si>
    <t>U.S. Department of Health and Human Services</t>
  </si>
  <si>
    <t>Partnering for Successful Futures</t>
  </si>
  <si>
    <t>02212</t>
  </si>
  <si>
    <t>Jecklin, A</t>
  </si>
  <si>
    <t>Missouri Department of Social Services</t>
  </si>
  <si>
    <t>Missouri Mentoring Partnership FY12</t>
  </si>
  <si>
    <t>Missouri Mentoring Partnership FY13</t>
  </si>
  <si>
    <t>Title IV-E MSW Program</t>
  </si>
  <si>
    <t>College of Humanities and Public Affairs</t>
  </si>
  <si>
    <t>12127</t>
  </si>
  <si>
    <t>Lopinot, N</t>
  </si>
  <si>
    <t>CAR</t>
  </si>
  <si>
    <t>CHPA</t>
  </si>
  <si>
    <t>Cultural Resource Analysts</t>
  </si>
  <si>
    <t>CAR-1481 Archaeology &amp; Architectural History Background Research, 14 Acre Tract at Jefferson Barracks, St. Louis County, Mo</t>
  </si>
  <si>
    <t>12134</t>
  </si>
  <si>
    <t>Bureau Veritas NA, Inc. &amp; Verizon Wireless</t>
  </si>
  <si>
    <t>CAR-1482 Intensive Cultural Resources Survey for MO18 Dongola Cell Tower, Bollinger Co., Mo</t>
  </si>
  <si>
    <t>12050</t>
  </si>
  <si>
    <t>White Buffalo Environmental, Inc., Tulsa, OK and T-Mobil</t>
  </si>
  <si>
    <t>CAR-1468 Intensive CRS for St. Peters Cell Tower, St. Charles Co. &amp; Background Research for 2 Collocations in St. Louis</t>
  </si>
  <si>
    <t>12163</t>
  </si>
  <si>
    <t>ADV Archaeological Services</t>
  </si>
  <si>
    <t>CAR-1486 Background Research for Manilla to Memphis Junction, AR Corridor</t>
  </si>
  <si>
    <t>12018</t>
  </si>
  <si>
    <t>Gray Acres LLC &amp; A.L.M. Legal &amp; Business Service LLC</t>
  </si>
  <si>
    <t>CAR-1461 Intensive Cultural Resources Survey of 60 Acres in Boone County, Mo</t>
  </si>
  <si>
    <t>12154</t>
  </si>
  <si>
    <t>CAR-1484 Intensive CRS for KS004 Junction City #4 Cell, Junction City, Geary Co., KS</t>
  </si>
  <si>
    <t>KDBZ Radio Station</t>
  </si>
  <si>
    <t>CAR-1470 Intensive Cultural Resources Survey for FM Radio Tower, St. Genevieve County, Mo</t>
  </si>
  <si>
    <t>12072</t>
  </si>
  <si>
    <t>IIAVD Archaeological Serivces, Inc.</t>
  </si>
  <si>
    <t>CAR-1471 Background Research for AVD Archaeological Services, Inc.</t>
  </si>
  <si>
    <t>12155</t>
  </si>
  <si>
    <t>Ray, J</t>
  </si>
  <si>
    <t>Joe's Bridge &amp; Grading, Inc.</t>
  </si>
  <si>
    <t>CAR-1483 Phase I Survey of Proposed Borrow Area Along Cane Creek, Butler Co., Mo</t>
  </si>
  <si>
    <t>Thompson, D</t>
  </si>
  <si>
    <t>12027</t>
  </si>
  <si>
    <t>City of Monett, MO</t>
  </si>
  <si>
    <t>CAR-1464 Intensive Phase I Resources Survey for Proposed Monett Water Treatment Plant</t>
  </si>
  <si>
    <t>City</t>
  </si>
  <si>
    <t>12094</t>
  </si>
  <si>
    <t>SCI Engineering, St. Louis, Mo</t>
  </si>
  <si>
    <t>CAR-1478 Chert Analysis of the Renner Site Collection</t>
  </si>
  <si>
    <t>12042</t>
  </si>
  <si>
    <t>Lopinot, N/Thompson, D</t>
  </si>
  <si>
    <t>Bureau Veritas NA, Inc.</t>
  </si>
  <si>
    <t>CAR-1467 Intensive Cultural Resources Survey for Proposed Sedalia Colocation Cell</t>
  </si>
  <si>
    <t>12034</t>
  </si>
  <si>
    <t>PWSD No. 12 of Jefferson Co., &amp; Hurst-Rosche Engineers</t>
  </si>
  <si>
    <t>CAR-1466 Phase I Intensive Cultural Resources Survey of 23,000 ft of Proposed New Waterline in Jefferson, Co., Mo</t>
  </si>
  <si>
    <t>12022</t>
  </si>
  <si>
    <t>Panamerican</t>
  </si>
  <si>
    <t>CAR-1462 Archaeobotanical Analysis of Flotation Samples from 22SH506, the Rolling Forks Mound Site in Sharkey Co, MS</t>
  </si>
  <si>
    <t>12080</t>
  </si>
  <si>
    <t>U.S. Army Corps of Engineers - Kansas City District</t>
  </si>
  <si>
    <t>CAR-1469 Buried Steamboat Magnetometer and Auger Survey, Cora Island, St. Charles, Mo</t>
  </si>
  <si>
    <t>12145</t>
  </si>
  <si>
    <t>HNTB &amp; U.S. Army Corps of Engineers - Kansas City District</t>
  </si>
  <si>
    <t>CAR-1469A&amp;B Magnetometer Shipwreck Survey, Jameson Island (T-1) &amp; Cora Island (T-2), Saline &amp; St. Charles Co., Mo</t>
  </si>
  <si>
    <t>12090</t>
  </si>
  <si>
    <t>CAR-1475 Archaeobotanical Analysis, Foster Site, Lafayette Co., AR</t>
  </si>
  <si>
    <t>12103</t>
  </si>
  <si>
    <t>National Park Service</t>
  </si>
  <si>
    <t>CAR-1476 Battle of the Sinkhole Archaeological Project</t>
  </si>
  <si>
    <t>12037</t>
  </si>
  <si>
    <t>Venter, M</t>
  </si>
  <si>
    <t>CAR-1452 Collaborative Survey &amp; Inventory of Delaware Sites in Southwest Missouri</t>
  </si>
  <si>
    <t>12153</t>
  </si>
  <si>
    <t>Oklahoma Historical Society &amp; Oklahoma State Historic Preservation Office</t>
  </si>
  <si>
    <t>CAR-1485 Archaeological Survey of Peoria &amp; Related Quarry Areas, Ottawa County, Ok</t>
  </si>
  <si>
    <t>CAR-1487a,b,c Archaeobotanical Analysis, the Hoeing Sit, the Mallincrodt Site, and the Sohn Site</t>
  </si>
  <si>
    <t>12195</t>
  </si>
  <si>
    <t>Olsson Associates and Greene County Highway Department</t>
  </si>
  <si>
    <t>CAR-1465 Intensive Phase I Archaeological Survey for the James River Arterial, Southern Greene Co., Mo</t>
  </si>
  <si>
    <t>12196</t>
  </si>
  <si>
    <t>City of Springfield, Mo</t>
  </si>
  <si>
    <t>CAR-1479 Archaeology Days at the McKenzie-Townsend Site, Greene Co., Mo</t>
  </si>
  <si>
    <t>Mitchell, D</t>
  </si>
  <si>
    <t>CER</t>
  </si>
  <si>
    <t>12045</t>
  </si>
  <si>
    <t>Hass, A</t>
  </si>
  <si>
    <t>CRIM</t>
  </si>
  <si>
    <t>Missouri Department of Corrections</t>
  </si>
  <si>
    <t>An Evaluation Study of the Springfield ReEntry Project</t>
  </si>
  <si>
    <t>12053</t>
  </si>
  <si>
    <t>Garland, B</t>
  </si>
  <si>
    <t>Annie E. Casey Foundation</t>
  </si>
  <si>
    <t>A National Study of Juvenile Evening Reporting Centers</t>
  </si>
  <si>
    <t>12138</t>
  </si>
  <si>
    <t>Stone, L</t>
  </si>
  <si>
    <t>CSSPPR</t>
  </si>
  <si>
    <t>Community Partnership of the Ozarks</t>
  </si>
  <si>
    <t>2012 STOP Evaluation</t>
  </si>
  <si>
    <t>12137</t>
  </si>
  <si>
    <t>Southwest Missouri Office on Aging</t>
  </si>
  <si>
    <t>Survey of SWMOA Client Satisfaction</t>
  </si>
  <si>
    <t>12107</t>
  </si>
  <si>
    <t>Abidogun, J</t>
  </si>
  <si>
    <t>HIS</t>
  </si>
  <si>
    <t>Forum for African Women Educationalists (FAWE)</t>
  </si>
  <si>
    <t>Engaging Women in Science through Curricular Review and Integration of Indigenous Knowledge</t>
  </si>
  <si>
    <t>12142</t>
  </si>
  <si>
    <t>Hickey, D</t>
  </si>
  <si>
    <t>PLS</t>
  </si>
  <si>
    <t>Taiwan Foundation for Democracy</t>
  </si>
  <si>
    <t>US-Taiwan Security Ties During an Era of Cross-Strait Rapprochement</t>
  </si>
  <si>
    <t>12165</t>
  </si>
  <si>
    <t>Byers, D</t>
  </si>
  <si>
    <t>S&amp;A</t>
  </si>
  <si>
    <t>U.S. Department of Agriculture, Forest Service</t>
  </si>
  <si>
    <t>Archeological Reconnaissance and site Testing in the Pryor and Beartooth Ranges, Custer National Forest, Montana</t>
  </si>
  <si>
    <t>12197</t>
  </si>
  <si>
    <t>Sobel, E</t>
  </si>
  <si>
    <t>U.S. Department of Agriculture</t>
  </si>
  <si>
    <t>Archaeological Project Collaboration Between Mark Twain National Forest and Missouri State University</t>
  </si>
  <si>
    <t>College of Natural and Applied Sciences</t>
  </si>
  <si>
    <t>Robbins, L</t>
  </si>
  <si>
    <t>BIO</t>
  </si>
  <si>
    <t>CNAS</t>
  </si>
  <si>
    <t>12125</t>
  </si>
  <si>
    <t>Kovacs, L</t>
  </si>
  <si>
    <t>Missouri Native Plants Society</t>
  </si>
  <si>
    <t>Exploring Rock Grapes in the Missouri Ozarks</t>
  </si>
  <si>
    <t>12133</t>
  </si>
  <si>
    <t>Tomasi, T</t>
  </si>
  <si>
    <t>National Speleological Society</t>
  </si>
  <si>
    <t>Ruth Seeliger/Gray Bat Monitoring</t>
  </si>
  <si>
    <t>12158</t>
  </si>
  <si>
    <t>Ligon, D</t>
  </si>
  <si>
    <t>U.S. Fish &amp; Wildlife Service</t>
  </si>
  <si>
    <t>Long Term Aquatic Turtle &amp; Plant Community Trends at Sequoyah National Wildlife Refuge</t>
  </si>
  <si>
    <t>12017</t>
  </si>
  <si>
    <t>Beckman, D</t>
  </si>
  <si>
    <t>City of Springfield Biological Assessment of Urban Streams VII</t>
  </si>
  <si>
    <t>12039</t>
  </si>
  <si>
    <t>Mathis, A</t>
  </si>
  <si>
    <t>Bureau of Land Management via Oklahoma State University</t>
  </si>
  <si>
    <t>Coordinator Great Plains Fire Science Exchange</t>
  </si>
  <si>
    <t>12160</t>
  </si>
  <si>
    <t>Sho-Me Power</t>
  </si>
  <si>
    <t>Habitat Suitability and Presence of Indiana Bats, Pulaski County, Missouri</t>
  </si>
  <si>
    <t>12001</t>
  </si>
  <si>
    <t>Determination of Presence/Absence of Indiana Bats on a Proposed Transmission Line in Phelps County, MO, Known as Rolla South to Yancy Mills</t>
  </si>
  <si>
    <t>12002</t>
  </si>
  <si>
    <t>Determination of Presence/Absence of Indiana Bats on a Proposed Transmission Line in Texas County, MO, Known as Mountain Grove North to Fairview</t>
  </si>
  <si>
    <t>10090</t>
  </si>
  <si>
    <t>Oklahoma Department of Wildlife Conservation</t>
  </si>
  <si>
    <t>A Survey of Alligator Snapping Turtles and Other Turtle Species in Two Northeastern Oklahoma Rivers</t>
  </si>
  <si>
    <t>12159</t>
  </si>
  <si>
    <t>Bat Conservation International</t>
  </si>
  <si>
    <t>Gray Bat Susceptibility to White-Nose Syndrome, and the Potential of Passive Arousals to Combat the Fungal Infection</t>
  </si>
  <si>
    <t>12029</t>
  </si>
  <si>
    <t>Barnhart, C</t>
  </si>
  <si>
    <t>Peoria Tribe of Indians</t>
  </si>
  <si>
    <t>Peoria Tribe Staff Training for Freshwater Mussel Propagation</t>
  </si>
  <si>
    <t>12116</t>
  </si>
  <si>
    <t>Havel, J</t>
  </si>
  <si>
    <t>Wisconsin Department of Natural Resources</t>
  </si>
  <si>
    <t>A Field Test on the Effectiveness of Milfoil Weevil for Controlling Eurasian Water-milfoil in Northern Lakes</t>
  </si>
  <si>
    <t>12164</t>
  </si>
  <si>
    <t>U.S. Geological Survey</t>
  </si>
  <si>
    <t>Developing Methods for Laboratory Culture of Diverse Species of Freshwater Mussels</t>
  </si>
  <si>
    <t>12070</t>
  </si>
  <si>
    <t>Marrone BioInnovations, Inc.</t>
  </si>
  <si>
    <t>Testing for Lethal and Sublethal Effects of Zequanox Suspensions on Native Freshwater Mussels</t>
  </si>
  <si>
    <t>07015</t>
  </si>
  <si>
    <t>Fire Effects Monitoring in Central Great Plains NPS Units</t>
  </si>
  <si>
    <t>12097</t>
  </si>
  <si>
    <t>Gray Bat Susceptibility to White-Nose Syndrome</t>
  </si>
  <si>
    <t>Steiert, J</t>
  </si>
  <si>
    <t>Leis, S</t>
  </si>
  <si>
    <t>12148</t>
  </si>
  <si>
    <t>Saunders, G</t>
  </si>
  <si>
    <t>Science Experts Teaching Students</t>
  </si>
  <si>
    <t>Habitat Suitability and Presence of Indiana Bats in Webster County</t>
  </si>
  <si>
    <t>Missouri Department of Conservation</t>
  </si>
  <si>
    <t>Host Identification and Propagation of Ebonyshell Mussels (Fusconaia)</t>
  </si>
  <si>
    <t>Greene, J</t>
  </si>
  <si>
    <t>BSFS</t>
  </si>
  <si>
    <t>12102</t>
  </si>
  <si>
    <t>Welder Wildlife Foundation</t>
  </si>
  <si>
    <t>Fellowship Scholarship for Ashley Whaley</t>
  </si>
  <si>
    <t>12152</t>
  </si>
  <si>
    <t>Greater Ozarks Audubon Society</t>
  </si>
  <si>
    <t>GLADE - Green Leadership Academy for Diverse Ecosystems</t>
  </si>
  <si>
    <t>12005</t>
  </si>
  <si>
    <t>12007</t>
  </si>
  <si>
    <t>Bowles, B</t>
  </si>
  <si>
    <t>USEPA via Oklahoma Water Resources Board via Oklahoma State University</t>
  </si>
  <si>
    <t>Probabilistic Monitoring of Select Oklahoma Waterbodies - Phytoplankton Analysis</t>
  </si>
  <si>
    <t>12033</t>
  </si>
  <si>
    <t>Cox, E</t>
  </si>
  <si>
    <t>U.S. Environmental Protection Agency via Missouri Department of Natural Resources via Watershed Committee of the Ozarks</t>
  </si>
  <si>
    <t>Springfield-Green County Urban Watershed Stewardship Project</t>
  </si>
  <si>
    <t>12003</t>
  </si>
  <si>
    <t>NPS via CESU</t>
  </si>
  <si>
    <t>Interpretataion and Communication of Ecological Monitoring in the NPS Heartland Network</t>
  </si>
  <si>
    <t>Wanekaya, A</t>
  </si>
  <si>
    <t>CHEM</t>
  </si>
  <si>
    <t>12078</t>
  </si>
  <si>
    <t>Herati, R</t>
  </si>
  <si>
    <t>RUI: Design, Synthesis, Characterization and Environmental Applications of Carbon Nanotube-Dendrimer Supramolecular Heterostructures</t>
  </si>
  <si>
    <t>Sedaghat-Herati, R</t>
  </si>
  <si>
    <t>12040</t>
  </si>
  <si>
    <t>Steinle, E</t>
  </si>
  <si>
    <t>STEM Talent Expansion Program to Up Underrepresented Undergraduate Professionals in Math and Science</t>
  </si>
  <si>
    <t>Breyfogle, B</t>
  </si>
  <si>
    <t>12091</t>
  </si>
  <si>
    <t>Kadnikov, D</t>
  </si>
  <si>
    <t>American Heart Association</t>
  </si>
  <si>
    <t>Molecular Mechanisms of Selective Activatio of Liver X Receptors</t>
  </si>
  <si>
    <t>12077</t>
  </si>
  <si>
    <t>Gerasimchuk, N</t>
  </si>
  <si>
    <t>RUI: Light-insensitive Silver(I) Cyanoximates as Non Electrical, Colorimetric Sensors</t>
  </si>
  <si>
    <t>12058</t>
  </si>
  <si>
    <t>12076</t>
  </si>
  <si>
    <t>Richter, M</t>
  </si>
  <si>
    <t>RUI: Electrochemistry, Spectroscopy and Electrogenerated Chemiluminescence of Metal-Ligand Systems</t>
  </si>
  <si>
    <t>Biagioni, R</t>
  </si>
  <si>
    <t>Revision of Chemistry Laboratory Curricula to Improve Instructional Strategies and Incorporate Contemporary Instrumentation</t>
  </si>
  <si>
    <t>Jahnke, T</t>
  </si>
  <si>
    <t>May, D</t>
  </si>
  <si>
    <t>CRPM</t>
  </si>
  <si>
    <t>12098</t>
  </si>
  <si>
    <t>Hood, J</t>
  </si>
  <si>
    <t>Springfield Area Chamber of Commerce</t>
  </si>
  <si>
    <t>Economic Development Services-Cost of Living Index Price Report</t>
  </si>
  <si>
    <t>12119</t>
  </si>
  <si>
    <t>Public Transit-Human Services Transportation Coordination Plan Update for Southwest Missouri Council of Governments</t>
  </si>
  <si>
    <t>12131</t>
  </si>
  <si>
    <t>Faucett, D</t>
  </si>
  <si>
    <t>Shell Knob Special Road District</t>
  </si>
  <si>
    <t>Shell Knob Special Road District NHMP Addition</t>
  </si>
  <si>
    <t>12011</t>
  </si>
  <si>
    <t>U.S. Department of Transportation via MODOT</t>
  </si>
  <si>
    <t>FY12 Transportation Work Programs</t>
  </si>
  <si>
    <t>12150</t>
  </si>
  <si>
    <t>Wittorff-Sandgren, D</t>
  </si>
  <si>
    <t>Shell Knob Special Road District HMGP Grant Writing</t>
  </si>
  <si>
    <t>12043</t>
  </si>
  <si>
    <t>Missouri Office of Administration</t>
  </si>
  <si>
    <t>Southwest Missouri Council of Governments FY2012 Development Grant</t>
  </si>
  <si>
    <t>12032</t>
  </si>
  <si>
    <t>Polk County, Missouri</t>
  </si>
  <si>
    <t>Polk County Enhanced Enterprise Zone Application</t>
  </si>
  <si>
    <t>County</t>
  </si>
  <si>
    <t>12065</t>
  </si>
  <si>
    <t>Missouri Office of Homeland Security</t>
  </si>
  <si>
    <t>Southwest Missouri Council of Governments FY11 Homeland Security Work Program</t>
  </si>
  <si>
    <t>12124</t>
  </si>
  <si>
    <t>Missouri State Emergency Management Agency</t>
  </si>
  <si>
    <t>Stone County Multi-Jurisdictional Hazard Mitigation Plan 2012</t>
  </si>
  <si>
    <t>12128</t>
  </si>
  <si>
    <t>Taney County Multi-Jurisdictional Hazard Mitigation Plan 2012</t>
  </si>
  <si>
    <t>12047</t>
  </si>
  <si>
    <t>2011 Regional Homeland Security Grant</t>
  </si>
  <si>
    <t>Watts, D</t>
  </si>
  <si>
    <t>CS</t>
  </si>
  <si>
    <t>Vollmar, K</t>
  </si>
  <si>
    <t>12025</t>
  </si>
  <si>
    <t>Enhancing the Support System and Outcomes for STEM Students</t>
  </si>
  <si>
    <t>Pierson, M</t>
  </si>
  <si>
    <t>EGR</t>
  </si>
  <si>
    <t>12056</t>
  </si>
  <si>
    <t>Mickus, K</t>
  </si>
  <si>
    <t>GGP</t>
  </si>
  <si>
    <t>GPR Study of Hazelwood Cemetary</t>
  </si>
  <si>
    <t>12068</t>
  </si>
  <si>
    <t>U.S. Geological Survey - EDMAP</t>
  </si>
  <si>
    <t>Structural and Strtigraphic Evolution of the Southern Margin of Laurentia: Geologic Mapping of the Jane 7.5-minute Quadrangle</t>
  </si>
  <si>
    <t>Evans, K</t>
  </si>
  <si>
    <t>12141</t>
  </si>
  <si>
    <t>Statoil</t>
  </si>
  <si>
    <t>Comprehensive Analyses of Broadband Seismic Data Recorded in the Afar Depression, Ethiopia</t>
  </si>
  <si>
    <t>08151</t>
  </si>
  <si>
    <t>Rovey, C</t>
  </si>
  <si>
    <t>United States Department of Energy via City Utilities of Springfield</t>
  </si>
  <si>
    <t>Carbon Sequestration</t>
  </si>
  <si>
    <t>Plymate, T</t>
  </si>
  <si>
    <t>Gouzie, D</t>
  </si>
  <si>
    <t>12095</t>
  </si>
  <si>
    <t>Collaborative Research: The Role of Fluids in the Evolution of the Death Valley Crust</t>
  </si>
  <si>
    <t>Miao, X</t>
  </si>
  <si>
    <t>Black, A</t>
  </si>
  <si>
    <t>12013</t>
  </si>
  <si>
    <t>National Science Foundation via Texas Tech.</t>
  </si>
  <si>
    <t>Collaborative Research: SOAL STIAL - Southern Oklahoma Aulacogen as a Laboratory for a Seismic and Magnetotelluric and Investigation of Accretion of Continental Lithosphere</t>
  </si>
  <si>
    <t>12006</t>
  </si>
  <si>
    <t>NSF via the University of Texas, El Paso</t>
  </si>
  <si>
    <t>Hot Spring Sources in the Tecopa Basin, California</t>
  </si>
  <si>
    <t>12067</t>
  </si>
  <si>
    <t>Collaborative Research: Hotspot - Impact of the Yellowstone-Snake River Plain Hotspot on Continental Structure and Evolution</t>
  </si>
  <si>
    <t>12014</t>
  </si>
  <si>
    <t>National Science Foundation via Univ. of Oklahoma, Norman</t>
  </si>
  <si>
    <t>Collaborative Research: ICON - Incipient CONtinental Collision and 4D-Evolution of Continental Lithosphere Across a Plateau-Foreland Basin-Accretionary Wedge System</t>
  </si>
  <si>
    <t>Luo, J</t>
  </si>
  <si>
    <t>Virtualization-based Server Setting for Teaching Web GIS</t>
  </si>
  <si>
    <t>National Science Foundation via South Dakota School of Mines</t>
  </si>
  <si>
    <t>Collaborative Research: Anomalous Heat Flow and Structure of the Lithosphere in the Northern Great Plains</t>
  </si>
  <si>
    <t>12193</t>
  </si>
  <si>
    <t>Qiu, X</t>
  </si>
  <si>
    <t>Effects of Contectual Variables on Physical Activity of Children with Severe Visual Impairment</t>
  </si>
  <si>
    <t>12031</t>
  </si>
  <si>
    <t>Zheng, S</t>
  </si>
  <si>
    <t>MATH</t>
  </si>
  <si>
    <t>Google</t>
  </si>
  <si>
    <t>Median Boost Classifier for Pattern Recognition</t>
  </si>
  <si>
    <t>12088</t>
  </si>
  <si>
    <t>Mathew, G</t>
  </si>
  <si>
    <t>National Science Foundation via Mesabi Range Community &amp; Technical College</t>
  </si>
  <si>
    <t>Using Artificial Intelligence and the Theory of Markov Processes to Investigate the Interplay between Affective Variables and Student Learning and Retentions</t>
  </si>
  <si>
    <t>Research/Education</t>
  </si>
  <si>
    <t>12041</t>
  </si>
  <si>
    <t>U.S. Department of Education via Mesabi Range Community &amp; Technical College</t>
  </si>
  <si>
    <t>An Early Warning System for Developmental Mathematics Students Using Markov Chain Modeling</t>
  </si>
  <si>
    <t>12023</t>
  </si>
  <si>
    <t>Reid, L</t>
  </si>
  <si>
    <t>Research Experiences for Undergraduates in Mathematics at Missouri State University</t>
  </si>
  <si>
    <t>Education/Research</t>
  </si>
  <si>
    <t>Rebaza, J</t>
  </si>
  <si>
    <t>Sun, X</t>
  </si>
  <si>
    <t>Plymate, L</t>
  </si>
  <si>
    <t>Cheng, Y</t>
  </si>
  <si>
    <t>Mathematical Association of America</t>
  </si>
  <si>
    <t>2012 MAKO Undergraduate Math Research Conference</t>
  </si>
  <si>
    <t>08168</t>
  </si>
  <si>
    <t>Pavlowsky, R</t>
  </si>
  <si>
    <t>OEWRI</t>
  </si>
  <si>
    <t>City of Battlefield</t>
  </si>
  <si>
    <t>James River MS4/TMDL Monitoring Project</t>
  </si>
  <si>
    <t>Christian County</t>
  </si>
  <si>
    <t>City of Ozark</t>
  </si>
  <si>
    <t>City of Nixa</t>
  </si>
  <si>
    <t>Greene County</t>
  </si>
  <si>
    <t>12120</t>
  </si>
  <si>
    <t>Characterizing Lead Geochemistry in Fugitive Road Dust from Missouri's Mining Districts and Surrounding Areas</t>
  </si>
  <si>
    <t>U.S. Environmental Protection Agency via Greene County Soil and Water District</t>
  </si>
  <si>
    <t>Sample Analysis and Nonpoint Loads for the Asher Creek 319 Project (List as "Asher Creek 319")</t>
  </si>
  <si>
    <t>U.S. Environmental Protection Agency via James River Basin Partnership</t>
  </si>
  <si>
    <t>James River Bank Erosion 319 Assessment Project</t>
  </si>
  <si>
    <t>Pearson Creek 319 Water Quality Monitoring Project</t>
  </si>
  <si>
    <t>Corneilson, D</t>
  </si>
  <si>
    <t>PAMS</t>
  </si>
  <si>
    <t>12151</t>
  </si>
  <si>
    <t>Reed, M</t>
  </si>
  <si>
    <t>NASA via Missouri S and T</t>
  </si>
  <si>
    <t>Missouri Space Grant Consortium</t>
  </si>
  <si>
    <t>12105</t>
  </si>
  <si>
    <t>NASA</t>
  </si>
  <si>
    <t>Studying P-Mode Subdwarf B Pulsators Using Kepler</t>
  </si>
  <si>
    <t>12106</t>
  </si>
  <si>
    <t>Studying G-Mode Subdwarf B Pulsators in Open Clusters Using Kepler</t>
  </si>
  <si>
    <t>Ghosh, K</t>
  </si>
  <si>
    <t>12060</t>
  </si>
  <si>
    <t>Mitra, S</t>
  </si>
  <si>
    <t xml:space="preserve">American Chemical Society </t>
  </si>
  <si>
    <t>Development of High Performance Anodes for Rechargeable Lithium Ion Batteries (LIB) by Pulse Laser Deposition of Transitional Metal Oxides</t>
  </si>
  <si>
    <t>09057</t>
  </si>
  <si>
    <t>Mayanovic, R</t>
  </si>
  <si>
    <t>United States Department of Energy via Carnegie Institution of Washington</t>
  </si>
  <si>
    <t>In-Situ Investigations of Materials Under Extreme Conditions in Supercritical Acqueous Fluids</t>
  </si>
  <si>
    <t>12015</t>
  </si>
  <si>
    <t>Thomas, W</t>
  </si>
  <si>
    <t>Revitalizing Introductory Physics Instruction: Student Engagement through Meta-Cognition</t>
  </si>
  <si>
    <t>Baker, B</t>
  </si>
  <si>
    <t>12059</t>
  </si>
  <si>
    <t>RUI: Nanoscale Investigation of Ferroelectric Domain Dynamics in Multiferroic Thin Film Capacitors</t>
  </si>
  <si>
    <t>12057</t>
  </si>
  <si>
    <t>RUI: In Situ Spectroscopic Investigations of the Adsorption of 3d Metal Ions on Metal Oxide Nanoparticles in Aqueous Fluids to Supercritical Conditions</t>
  </si>
  <si>
    <t>12044</t>
  </si>
  <si>
    <t>Redd, E</t>
  </si>
  <si>
    <t>Super-Turing Computation and Brain-Like Intelligence</t>
  </si>
  <si>
    <t>12112</t>
  </si>
  <si>
    <t>MRI: Development of an Optical Computing Instrument</t>
  </si>
  <si>
    <t>12010</t>
  </si>
  <si>
    <t>Defense Advanced Research Projects Agency (DARPA) via Triplet Solutions, Inc.</t>
  </si>
  <si>
    <t>High Velocity Insensitive Launch Systems</t>
  </si>
  <si>
    <t>12188</t>
  </si>
  <si>
    <t>National Science Foundation via MU - Rolla</t>
  </si>
  <si>
    <t>SNM: Developing Low Cost High-Throughput Scalable Novel Fabrication Techniques to Produce Nanowire Arrays for High-Efficiency</t>
  </si>
  <si>
    <t>RUI: Asteroseismology of Pulsating Subdwarf B Stars via Observational Mode Identification and Modeling</t>
  </si>
  <si>
    <t>Research/Student Support</t>
  </si>
  <si>
    <t>Diversity &amp; Inclusion</t>
  </si>
  <si>
    <t>12114</t>
  </si>
  <si>
    <t>Wilson, T</t>
  </si>
  <si>
    <t>TRiO</t>
  </si>
  <si>
    <t>D&amp;I</t>
  </si>
  <si>
    <t>Missouri State University TRIO Upward Bound Program</t>
  </si>
  <si>
    <t>Library</t>
  </si>
  <si>
    <t>12149</t>
  </si>
  <si>
    <t>Smith, N</t>
  </si>
  <si>
    <t>LIB</t>
  </si>
  <si>
    <t>Missouri State Library</t>
  </si>
  <si>
    <t>ACRL Information Literacy Immersion Program</t>
  </si>
  <si>
    <t>12143</t>
  </si>
  <si>
    <t>Beisswenger, DA</t>
  </si>
  <si>
    <t>America's Music: A Film History of Our Popular Music from Blues to Bluegrass to Broadway</t>
  </si>
  <si>
    <t>McCroskey, M</t>
  </si>
  <si>
    <t>Annual American Library Association Conference and Preconference</t>
  </si>
  <si>
    <t>President's Office</t>
  </si>
  <si>
    <t>Nowell, A</t>
  </si>
  <si>
    <t>CAS</t>
  </si>
  <si>
    <t>PRES</t>
  </si>
  <si>
    <t>12074</t>
  </si>
  <si>
    <t>Morris, E</t>
  </si>
  <si>
    <t>JKHH</t>
  </si>
  <si>
    <t>Mid America Arts Alliance</t>
  </si>
  <si>
    <t>FY 2012 Community Engagement with Touring Artist Program</t>
  </si>
  <si>
    <t>12069</t>
  </si>
  <si>
    <t>2011-2012 Multidiscipline Programs</t>
  </si>
  <si>
    <t>Office of the Provost</t>
  </si>
  <si>
    <t>12118</t>
  </si>
  <si>
    <t>Walker, B</t>
  </si>
  <si>
    <t>AGR</t>
  </si>
  <si>
    <t>PROV</t>
  </si>
  <si>
    <t>Waltham Foundation</t>
  </si>
  <si>
    <t>Effect of Ergopentine Consupmtion of Recovery of Exercising Horses</t>
  </si>
  <si>
    <t>Schmitt, D</t>
  </si>
  <si>
    <t>12113</t>
  </si>
  <si>
    <t>Pszczolkowski, M</t>
  </si>
  <si>
    <t>Herb Society of America</t>
  </si>
  <si>
    <t>A Green Alternative to an Organophosphate Neurotoxin: Preventing Apple Infestation by Codling Moth with Extracts</t>
  </si>
  <si>
    <t>12016</t>
  </si>
  <si>
    <t>Elliott, A</t>
  </si>
  <si>
    <t>U. S. Department of Agriculture via Jimmy Story/Missouri Enterprise</t>
  </si>
  <si>
    <t>Connecting Local - Missouri Producers and Purchasers</t>
  </si>
  <si>
    <t>Webb, S</t>
  </si>
  <si>
    <t>Webb, G</t>
  </si>
  <si>
    <t>Onyango, B</t>
  </si>
  <si>
    <t>12073</t>
  </si>
  <si>
    <t>Rimal, A</t>
  </si>
  <si>
    <t>Missouri Agricultural and Small Business Development via FAPRI/MU</t>
  </si>
  <si>
    <t>Risk Management Strategies Utilizing a Whole Farm Panel Approach: A Focus on Small to Mid-size Farmers</t>
  </si>
  <si>
    <t>12104</t>
  </si>
  <si>
    <t>Hwang, C</t>
  </si>
  <si>
    <t>Missouri Wine and Grape Research Board</t>
  </si>
  <si>
    <t>Optimization of Norton Grape Breeding Using Molecular Genetic Approaches</t>
  </si>
  <si>
    <t>06149</t>
  </si>
  <si>
    <t>Feld Entertainment</t>
  </si>
  <si>
    <t>Addendum to Ringling Bros. Chair of Vetrinary Care and Director of Research and Conservation</t>
  </si>
  <si>
    <t>Missouri Department of Agriculture</t>
  </si>
  <si>
    <t>Exploring the Genetic Resources of Norton Grape for Fungal Disease Resistance</t>
  </si>
  <si>
    <t>12111</t>
  </si>
  <si>
    <t>CGB</t>
  </si>
  <si>
    <t>American Viticulture Foundation</t>
  </si>
  <si>
    <t>Breeding Rootstocks Resistant to Aggressive Root-Knot Nematodes</t>
  </si>
  <si>
    <t>Qiu, W</t>
  </si>
  <si>
    <t>The Midwest Grapevine Tissue-Culture and Virus Testing Laboratory: Sustainable Phase</t>
  </si>
  <si>
    <t>Kahol, P</t>
  </si>
  <si>
    <t>GRAD</t>
  </si>
  <si>
    <t>Mace, M</t>
  </si>
  <si>
    <t>MCC</t>
  </si>
  <si>
    <t>Norgren, M</t>
  </si>
  <si>
    <t>MVEC</t>
  </si>
  <si>
    <t>Odneal, M</t>
  </si>
  <si>
    <t>Artisan Distillation of Fruit Brandies and Liquers Using the Infusion Process</t>
  </si>
  <si>
    <t>Wilker, K</t>
  </si>
  <si>
    <t>Duitsman, D</t>
  </si>
  <si>
    <t>OPHI</t>
  </si>
  <si>
    <t>12121</t>
  </si>
  <si>
    <t>Joyce, D</t>
  </si>
  <si>
    <t>ACT Missouri</t>
  </si>
  <si>
    <t>Breathe Easy Christian County Event Support</t>
  </si>
  <si>
    <t>12147</t>
  </si>
  <si>
    <t>Comprehensive Tobacco Control Program</t>
  </si>
  <si>
    <t>12122</t>
  </si>
  <si>
    <t>Missouri Childhood Asthma Management Program</t>
  </si>
  <si>
    <t>Research/Service</t>
  </si>
  <si>
    <t>VP of Research and Economic Development</t>
  </si>
  <si>
    <t>Alsup, J</t>
  </si>
  <si>
    <t>AHEC</t>
  </si>
  <si>
    <t>03131</t>
  </si>
  <si>
    <t>U.S. Department of Health and Human Services via AT Still University/KCOM</t>
  </si>
  <si>
    <t>Federal AHEC Cooperative Agreement</t>
  </si>
  <si>
    <t>12189</t>
  </si>
  <si>
    <t>12087</t>
  </si>
  <si>
    <t>Wiley, T</t>
  </si>
  <si>
    <t>BRD SVC</t>
  </si>
  <si>
    <t>Corporation for Public Broadcasting</t>
  </si>
  <si>
    <t>FY2012 Television Interconnection Grant</t>
  </si>
  <si>
    <t>Knight, R</t>
  </si>
  <si>
    <t>11097</t>
  </si>
  <si>
    <t>Radio Community Service Grant</t>
  </si>
  <si>
    <t>Ferguson, R</t>
  </si>
  <si>
    <t>12085</t>
  </si>
  <si>
    <t>FY2012 Community Service Grant KSMU-FM</t>
  </si>
  <si>
    <t>12086</t>
  </si>
  <si>
    <t>FY2012 Local Service Grant KOZK-TV</t>
  </si>
  <si>
    <t>12084</t>
  </si>
  <si>
    <t>FY2012 Community Service Grant</t>
  </si>
  <si>
    <t>12191</t>
  </si>
  <si>
    <t>Moore, B</t>
  </si>
  <si>
    <t>Public Broadcasting Service</t>
  </si>
  <si>
    <t>WARN Act - Phase Two Sub-Grant</t>
  </si>
  <si>
    <t>Infrastructure</t>
  </si>
  <si>
    <t>11036</t>
  </si>
  <si>
    <t>Curry, M</t>
  </si>
  <si>
    <t>CASE</t>
  </si>
  <si>
    <t>Department of Defense via Lockheed Martin</t>
  </si>
  <si>
    <t>Hilton Head</t>
  </si>
  <si>
    <t>Patel, R</t>
  </si>
  <si>
    <t>12157</t>
  </si>
  <si>
    <t>U.S. Department of Defense - Department of the Army</t>
  </si>
  <si>
    <t>Development of Low Temperature Ultracapacitor</t>
  </si>
  <si>
    <t>Younger, S</t>
  </si>
  <si>
    <t>12008</t>
  </si>
  <si>
    <t xml:space="preserve">Curry, M </t>
  </si>
  <si>
    <t>via QinetiQ North America Technology Solutions Group</t>
  </si>
  <si>
    <t>Pervasive Airborne Load-Bearing Antenna Structure (PALAS)</t>
  </si>
  <si>
    <t>Applied Research</t>
  </si>
  <si>
    <t>12194</t>
  </si>
  <si>
    <t>Low Cost and Adaptable Long-Wavelength IR Sensor Using Thin-Film-Based Polymer Technology</t>
  </si>
  <si>
    <t>12130</t>
  </si>
  <si>
    <t>Durham, P</t>
  </si>
  <si>
    <t>CBLS</t>
  </si>
  <si>
    <t>National Headache Foundation</t>
  </si>
  <si>
    <t>Trapezius Muscle Pain Lowers the Activation Threshold of Trigeminal Neurons: Role of Neck Muscle Pain as a Risk Factor</t>
  </si>
  <si>
    <t>12062</t>
  </si>
  <si>
    <t>Migraine Research Foundation</t>
  </si>
  <si>
    <t>Elevated Levels of CGRP in the Spinal Trigeminal Nucleus Promotes Peripheral Sensitization of Trigeminal Ganglia Nociceptors</t>
  </si>
  <si>
    <t>12035</t>
  </si>
  <si>
    <t>Merck</t>
  </si>
  <si>
    <t>Identification of Rizatriptan and MK-8825-Regulated Cytokines and Signaling Protiens in Trigeminal Ganglia and Spinal Trigeminal</t>
  </si>
  <si>
    <t>12136</t>
  </si>
  <si>
    <t>Role of Calcitonin Gene-Related Peptide in Temporomandibular Joint Disorder Pathology</t>
  </si>
  <si>
    <t>Upsher Smith Pharmaceuticals</t>
  </si>
  <si>
    <t>Proposed Studies to Better Understand MOA for Tonabersat</t>
  </si>
  <si>
    <t>12198</t>
  </si>
  <si>
    <t>Upsher-Smith Laboratories, Inc.</t>
  </si>
  <si>
    <t>Connexin Expression and Formulation</t>
  </si>
  <si>
    <t>12199</t>
  </si>
  <si>
    <t>Tonabersat on Expression of Connexins</t>
  </si>
  <si>
    <t>12200</t>
  </si>
  <si>
    <t>Kunkel, A</t>
  </si>
  <si>
    <t>JVIC</t>
  </si>
  <si>
    <t>3rd Quarter Facilities, Infrastructure, and Service Fees</t>
  </si>
  <si>
    <t>F&amp;I</t>
  </si>
  <si>
    <t>Missouri Technology Corporation</t>
  </si>
  <si>
    <t>Missouri State University Innovation Center</t>
  </si>
  <si>
    <t>12038</t>
  </si>
  <si>
    <t>Corporation for National and Community Service via Wisconsin Campus Compact</t>
  </si>
  <si>
    <t>2012 MLK Collegiate Challenge</t>
  </si>
  <si>
    <t>West Plains</t>
  </si>
  <si>
    <t>12054</t>
  </si>
  <si>
    <t>Webb, K</t>
  </si>
  <si>
    <t>DEV</t>
  </si>
  <si>
    <t>WP</t>
  </si>
  <si>
    <t>Community Foundation of West Plains</t>
  </si>
  <si>
    <t>Zumba</t>
  </si>
  <si>
    <t>12009</t>
  </si>
  <si>
    <t>DeWitt, D</t>
  </si>
  <si>
    <t>The Flying Balalakia Brothers Concert</t>
  </si>
  <si>
    <t>12079</t>
  </si>
  <si>
    <t>Bach to the Future</t>
  </si>
  <si>
    <t>12055</t>
  </si>
  <si>
    <t>Morris, M</t>
  </si>
  <si>
    <t>Tuttle Amphitheater</t>
  </si>
  <si>
    <t>12071</t>
  </si>
  <si>
    <t>Lunday, H</t>
  </si>
  <si>
    <t>Walmart Foundation</t>
  </si>
  <si>
    <t>WMT 15 Application (Project Reward)</t>
  </si>
  <si>
    <t>12156</t>
  </si>
  <si>
    <t>White, D</t>
  </si>
  <si>
    <t>Bess Spiva Timmons Foundation</t>
  </si>
  <si>
    <t>Creating a Culture of Hope: MSU-WP Offender Education Program</t>
  </si>
  <si>
    <t>Walsh, P</t>
  </si>
  <si>
    <t>12028</t>
  </si>
  <si>
    <t>12117</t>
  </si>
  <si>
    <t>Lancaster, D</t>
  </si>
  <si>
    <t>Missouri State University-West Plains William and Virginia Darr Honors Program</t>
  </si>
  <si>
    <t>Bennett, D</t>
  </si>
  <si>
    <t>STEM Talen Expansion Program to Up Underrepresented Undergraduate Professionals in Math and Science</t>
  </si>
  <si>
    <t>12081</t>
  </si>
  <si>
    <t>Threshold IV</t>
  </si>
  <si>
    <t>12064</t>
  </si>
  <si>
    <t>Caton, B</t>
  </si>
  <si>
    <t>Missouri State Board of Nursing/MDHE</t>
  </si>
  <si>
    <t>Missouri State University-West Plains Nursing Program: Increase in Capacity</t>
  </si>
  <si>
    <t>Bassham, D</t>
  </si>
  <si>
    <t>Providing Understanding and Learning for Student Economic Decisions</t>
  </si>
  <si>
    <t>Rugutt, J</t>
  </si>
  <si>
    <t>Infusing Science Lab Courses with Research-Based Guided Inquiry Experiments</t>
  </si>
  <si>
    <t>MSU-WP University Community Programs Touring Grant</t>
  </si>
  <si>
    <t>Hensley, R</t>
  </si>
  <si>
    <t>TRIM Grant (Forestry Division)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</si>
</sst>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  <numFmt numFmtId="165" formatCode="mm/d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 tint="-4.9989318521683403E-2"/>
      <name val="Cambria"/>
      <family val="1"/>
      <scheme val="major"/>
    </font>
    <font>
      <b/>
      <sz val="16"/>
      <color theme="0" tint="-4.9989318521683403E-2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4A001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/>
    <xf numFmtId="49" fontId="2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right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42" fontId="3" fillId="2" borderId="0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right" vertical="center" wrapText="1"/>
    </xf>
    <xf numFmtId="164" fontId="5" fillId="3" borderId="2" xfId="1" applyNumberFormat="1" applyFont="1" applyFill="1" applyBorder="1" applyAlignment="1">
      <alignment horizontal="right" vertical="center"/>
    </xf>
    <xf numFmtId="42" fontId="5" fillId="3" borderId="2" xfId="1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wrapText="1"/>
    </xf>
    <xf numFmtId="3" fontId="5" fillId="4" borderId="2" xfId="1" applyNumberFormat="1" applyFont="1" applyFill="1" applyBorder="1" applyAlignment="1">
      <alignment horizontal="center" wrapText="1"/>
    </xf>
    <xf numFmtId="0" fontId="6" fillId="0" borderId="0" xfId="0" applyFont="1" applyFill="1"/>
    <xf numFmtId="49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Fill="1" applyBorder="1" applyAlignment="1"/>
    <xf numFmtId="0" fontId="6" fillId="0" borderId="2" xfId="0" applyFont="1" applyFill="1" applyBorder="1" applyAlignment="1">
      <alignment wrapText="1"/>
    </xf>
    <xf numFmtId="164" fontId="6" fillId="0" borderId="2" xfId="0" applyNumberFormat="1" applyFont="1" applyFill="1" applyBorder="1"/>
    <xf numFmtId="1" fontId="6" fillId="0" borderId="2" xfId="2" applyNumberFormat="1" applyFont="1" applyBorder="1" applyAlignment="1">
      <alignment horizontal="center"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Border="1" applyAlignment="1">
      <alignment horizontal="left" wrapText="1"/>
    </xf>
    <xf numFmtId="0" fontId="6" fillId="0" borderId="2" xfId="2" applyFont="1" applyBorder="1" applyAlignment="1">
      <alignment wrapText="1"/>
    </xf>
    <xf numFmtId="164" fontId="6" fillId="0" borderId="2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49" fontId="6" fillId="0" borderId="2" xfId="3" applyNumberFormat="1" applyFont="1" applyFill="1" applyBorder="1" applyAlignment="1">
      <alignment horizontal="center" vertical="center"/>
    </xf>
    <xf numFmtId="0" fontId="6" fillId="0" borderId="2" xfId="3" applyFont="1" applyFill="1" applyBorder="1"/>
    <xf numFmtId="164" fontId="6" fillId="0" borderId="2" xfId="3" applyNumberFormat="1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165" fontId="6" fillId="0" borderId="3" xfId="3" applyNumberFormat="1" applyFont="1" applyFill="1" applyBorder="1" applyAlignment="1">
      <alignment horizontal="center"/>
    </xf>
    <xf numFmtId="49" fontId="6" fillId="0" borderId="4" xfId="2" applyNumberFormat="1" applyFont="1" applyBorder="1" applyAlignment="1">
      <alignment horizontal="center" wrapText="1"/>
    </xf>
    <xf numFmtId="165" fontId="8" fillId="0" borderId="0" xfId="2" applyNumberFormat="1" applyFont="1" applyAlignment="1">
      <alignment horizontal="center" wrapText="1"/>
    </xf>
    <xf numFmtId="0" fontId="0" fillId="0" borderId="0" xfId="0" applyAlignment="1">
      <alignment wrapText="1"/>
    </xf>
    <xf numFmtId="49" fontId="6" fillId="0" borderId="2" xfId="2" applyNumberFormat="1" applyFont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165" fontId="6" fillId="0" borderId="3" xfId="2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65" fontId="8" fillId="0" borderId="0" xfId="2" applyNumberFormat="1" applyFont="1" applyFill="1" applyAlignment="1">
      <alignment horizontal="center" wrapText="1"/>
    </xf>
    <xf numFmtId="0" fontId="6" fillId="0" borderId="2" xfId="3" applyFont="1" applyFill="1" applyBorder="1" applyAlignment="1">
      <alignment wrapText="1"/>
    </xf>
    <xf numFmtId="164" fontId="6" fillId="0" borderId="2" xfId="3" applyNumberFormat="1" applyFont="1" applyFill="1" applyBorder="1" applyAlignment="1">
      <alignment wrapText="1"/>
    </xf>
    <xf numFmtId="164" fontId="7" fillId="0" borderId="2" xfId="0" applyNumberFormat="1" applyFont="1" applyFill="1" applyBorder="1"/>
    <xf numFmtId="49" fontId="6" fillId="0" borderId="4" xfId="3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/>
    <xf numFmtId="164" fontId="6" fillId="0" borderId="2" xfId="2" applyNumberFormat="1" applyFont="1" applyFill="1" applyBorder="1" applyAlignment="1">
      <alignment wrapText="1"/>
    </xf>
    <xf numFmtId="1" fontId="6" fillId="0" borderId="4" xfId="2" applyNumberFormat="1" applyFont="1" applyBorder="1" applyAlignment="1">
      <alignment horizontal="center" wrapText="1"/>
    </xf>
    <xf numFmtId="49" fontId="6" fillId="0" borderId="2" xfId="2" applyNumberFormat="1" applyFont="1" applyFill="1" applyBorder="1" applyAlignment="1">
      <alignment horizontal="center" wrapText="1"/>
    </xf>
    <xf numFmtId="49" fontId="6" fillId="0" borderId="4" xfId="2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10 2" xfId="2"/>
    <cellStyle name="Normal 7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2"/>
  <sheetViews>
    <sheetView showGridLines="0" tabSelected="1" workbookViewId="0">
      <pane ySplit="3" topLeftCell="A4" activePane="bottomLeft" state="frozen"/>
      <selection pane="bottomLeft" activeCell="F449" sqref="F449"/>
    </sheetView>
  </sheetViews>
  <sheetFormatPr defaultRowHeight="15" x14ac:dyDescent="0.25"/>
  <cols>
    <col min="1" max="1" width="2" customWidth="1"/>
    <col min="3" max="3" width="17.42578125" customWidth="1"/>
    <col min="6" max="6" width="38" style="32" customWidth="1"/>
    <col min="7" max="7" width="61" style="32" customWidth="1"/>
    <col min="8" max="8" width="10.7109375" style="32" bestFit="1" customWidth="1"/>
    <col min="9" max="9" width="19.28515625" style="32" customWidth="1"/>
    <col min="10" max="10" width="16.28515625" customWidth="1"/>
    <col min="11" max="11" width="1.8554687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2" t="s">
        <v>1</v>
      </c>
      <c r="H1" s="2"/>
      <c r="I1" s="2"/>
      <c r="J1" s="3">
        <f>SUM(J97,J151,J211,J8,J25,J48,J366,J407,J454,J4,J360,J354,J350)</f>
        <v>38053031.781000003</v>
      </c>
      <c r="K1" s="4"/>
    </row>
    <row r="2" spans="1:11" x14ac:dyDescent="0.25">
      <c r="A2" s="1"/>
      <c r="B2" s="1"/>
      <c r="C2" s="1"/>
      <c r="D2" s="1"/>
      <c r="E2" s="1"/>
      <c r="F2" s="1"/>
      <c r="G2" s="2"/>
      <c r="H2" s="2"/>
      <c r="I2" s="2"/>
      <c r="J2" s="4"/>
      <c r="K2" s="4"/>
    </row>
    <row r="3" spans="1:11" x14ac:dyDescent="0.25">
      <c r="A3" s="1"/>
      <c r="B3" s="1"/>
      <c r="C3" s="1"/>
      <c r="D3" s="1"/>
      <c r="E3" s="1"/>
      <c r="F3" s="1"/>
      <c r="G3" s="5"/>
      <c r="H3" s="5"/>
      <c r="I3" s="5"/>
      <c r="J3" s="4"/>
      <c r="K3" s="4"/>
    </row>
    <row r="4" spans="1:11" x14ac:dyDescent="0.25">
      <c r="B4" s="6" t="s">
        <v>2</v>
      </c>
      <c r="C4" s="6"/>
      <c r="D4" s="6"/>
      <c r="E4" s="6"/>
      <c r="F4" s="6"/>
      <c r="G4" s="6"/>
      <c r="H4" s="7" t="s">
        <v>3</v>
      </c>
      <c r="I4" s="7"/>
      <c r="J4" s="8">
        <f>SUM(J7)</f>
        <v>268048.75</v>
      </c>
    </row>
    <row r="5" spans="1:11" x14ac:dyDescent="0.25">
      <c r="B5" s="6"/>
      <c r="C5" s="6"/>
      <c r="D5" s="6"/>
      <c r="E5" s="6"/>
      <c r="F5" s="6"/>
      <c r="G5" s="6"/>
      <c r="H5" s="7"/>
      <c r="I5" s="7"/>
      <c r="J5" s="9"/>
    </row>
    <row r="6" spans="1:11" ht="29.25" x14ac:dyDescent="0.25"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1" t="s">
        <v>12</v>
      </c>
    </row>
    <row r="7" spans="1:11" s="12" customFormat="1" ht="14.25" x14ac:dyDescent="0.2">
      <c r="B7" s="13" t="s">
        <v>13</v>
      </c>
      <c r="C7" s="14" t="s">
        <v>14</v>
      </c>
      <c r="D7" s="15" t="s">
        <v>15</v>
      </c>
      <c r="E7" s="15" t="s">
        <v>16</v>
      </c>
      <c r="F7" s="16" t="s">
        <v>17</v>
      </c>
      <c r="G7" s="16" t="s">
        <v>18</v>
      </c>
      <c r="H7" s="16" t="s">
        <v>19</v>
      </c>
      <c r="I7" s="16" t="s">
        <v>20</v>
      </c>
      <c r="J7" s="17">
        <v>268048.75</v>
      </c>
    </row>
    <row r="8" spans="1:11" x14ac:dyDescent="0.25">
      <c r="B8" s="6" t="s">
        <v>21</v>
      </c>
      <c r="C8" s="6"/>
      <c r="D8" s="6"/>
      <c r="E8" s="6"/>
      <c r="F8" s="6"/>
      <c r="G8" s="6"/>
      <c r="H8" s="7" t="s">
        <v>3</v>
      </c>
      <c r="I8" s="7"/>
      <c r="J8" s="8">
        <f>SUM(J11:J24)</f>
        <v>304987.69</v>
      </c>
    </row>
    <row r="9" spans="1:11" x14ac:dyDescent="0.25">
      <c r="B9" s="6"/>
      <c r="C9" s="6"/>
      <c r="D9" s="6"/>
      <c r="E9" s="6"/>
      <c r="F9" s="6"/>
      <c r="G9" s="6"/>
      <c r="H9" s="7"/>
      <c r="I9" s="7"/>
      <c r="J9" s="9"/>
    </row>
    <row r="10" spans="1:11" ht="29.25" x14ac:dyDescent="0.25">
      <c r="B10" s="10" t="s">
        <v>4</v>
      </c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J10" s="11" t="s">
        <v>12</v>
      </c>
    </row>
    <row r="11" spans="1:11" x14ac:dyDescent="0.25">
      <c r="B11" s="13" t="s">
        <v>22</v>
      </c>
      <c r="C11" s="14" t="s">
        <v>23</v>
      </c>
      <c r="D11" s="15" t="s">
        <v>24</v>
      </c>
      <c r="E11" s="15" t="s">
        <v>25</v>
      </c>
      <c r="F11" s="16" t="s">
        <v>22</v>
      </c>
      <c r="G11" s="16" t="s">
        <v>26</v>
      </c>
      <c r="H11" s="16" t="s">
        <v>27</v>
      </c>
      <c r="I11" s="16" t="s">
        <v>28</v>
      </c>
      <c r="J11" s="17">
        <v>8594</v>
      </c>
    </row>
    <row r="12" spans="1:11" x14ac:dyDescent="0.25">
      <c r="B12" s="13" t="s">
        <v>22</v>
      </c>
      <c r="C12" s="14" t="s">
        <v>23</v>
      </c>
      <c r="D12" s="15" t="s">
        <v>24</v>
      </c>
      <c r="E12" s="15" t="s">
        <v>25</v>
      </c>
      <c r="F12" s="16" t="s">
        <v>22</v>
      </c>
      <c r="G12" s="16" t="s">
        <v>29</v>
      </c>
      <c r="H12" s="16" t="s">
        <v>27</v>
      </c>
      <c r="I12" s="16" t="s">
        <v>28</v>
      </c>
      <c r="J12" s="17">
        <v>8649</v>
      </c>
    </row>
    <row r="13" spans="1:11" x14ac:dyDescent="0.25">
      <c r="B13" s="13" t="s">
        <v>22</v>
      </c>
      <c r="C13" s="14" t="s">
        <v>23</v>
      </c>
      <c r="D13" s="15" t="s">
        <v>24</v>
      </c>
      <c r="E13" s="15" t="s">
        <v>25</v>
      </c>
      <c r="F13" s="16" t="s">
        <v>22</v>
      </c>
      <c r="G13" s="16" t="s">
        <v>30</v>
      </c>
      <c r="H13" s="16" t="s">
        <v>27</v>
      </c>
      <c r="I13" s="16" t="s">
        <v>28</v>
      </c>
      <c r="J13" s="17">
        <v>19123</v>
      </c>
    </row>
    <row r="14" spans="1:11" ht="29.25" x14ac:dyDescent="0.25">
      <c r="B14" s="13" t="s">
        <v>31</v>
      </c>
      <c r="C14" s="14" t="s">
        <v>23</v>
      </c>
      <c r="D14" s="15" t="s">
        <v>24</v>
      </c>
      <c r="E14" s="15" t="s">
        <v>25</v>
      </c>
      <c r="F14" s="16" t="s">
        <v>32</v>
      </c>
      <c r="G14" s="16" t="s">
        <v>33</v>
      </c>
      <c r="H14" s="16" t="s">
        <v>34</v>
      </c>
      <c r="I14" s="16" t="s">
        <v>28</v>
      </c>
      <c r="J14" s="17">
        <v>51675.69</v>
      </c>
    </row>
    <row r="15" spans="1:11" x14ac:dyDescent="0.25">
      <c r="B15" s="18" t="s">
        <v>22</v>
      </c>
      <c r="C15" s="19" t="s">
        <v>23</v>
      </c>
      <c r="D15" s="20" t="s">
        <v>24</v>
      </c>
      <c r="E15" s="20" t="s">
        <v>25</v>
      </c>
      <c r="F15" s="21" t="s">
        <v>22</v>
      </c>
      <c r="G15" s="21" t="s">
        <v>35</v>
      </c>
      <c r="H15" s="21" t="s">
        <v>27</v>
      </c>
      <c r="I15" s="21" t="s">
        <v>28</v>
      </c>
      <c r="J15" s="22">
        <v>3725</v>
      </c>
    </row>
    <row r="16" spans="1:11" x14ac:dyDescent="0.25">
      <c r="B16" s="13" t="s">
        <v>36</v>
      </c>
      <c r="C16" s="14" t="s">
        <v>37</v>
      </c>
      <c r="D16" s="15" t="s">
        <v>38</v>
      </c>
      <c r="E16" s="15" t="s">
        <v>25</v>
      </c>
      <c r="F16" s="16" t="s">
        <v>39</v>
      </c>
      <c r="G16" s="16" t="s">
        <v>40</v>
      </c>
      <c r="H16" s="16" t="s">
        <v>34</v>
      </c>
      <c r="I16" s="16" t="s">
        <v>41</v>
      </c>
      <c r="J16" s="17">
        <v>5000</v>
      </c>
    </row>
    <row r="17" spans="1:10" x14ac:dyDescent="0.25">
      <c r="B17" s="13" t="s">
        <v>36</v>
      </c>
      <c r="C17" s="14" t="s">
        <v>37</v>
      </c>
      <c r="D17" s="15" t="s">
        <v>38</v>
      </c>
      <c r="E17" s="15" t="s">
        <v>25</v>
      </c>
      <c r="F17" s="16" t="s">
        <v>39</v>
      </c>
      <c r="G17" s="16" t="s">
        <v>42</v>
      </c>
      <c r="H17" s="16" t="s">
        <v>34</v>
      </c>
      <c r="I17" s="16" t="s">
        <v>41</v>
      </c>
      <c r="J17" s="17">
        <v>20000</v>
      </c>
    </row>
    <row r="18" spans="1:10" x14ac:dyDescent="0.25">
      <c r="B18" s="13" t="s">
        <v>43</v>
      </c>
      <c r="C18" s="14" t="s">
        <v>44</v>
      </c>
      <c r="D18" s="15" t="s">
        <v>38</v>
      </c>
      <c r="E18" s="15" t="s">
        <v>25</v>
      </c>
      <c r="F18" s="16" t="s">
        <v>45</v>
      </c>
      <c r="G18" s="16" t="s">
        <v>46</v>
      </c>
      <c r="H18" s="16" t="s">
        <v>34</v>
      </c>
      <c r="I18" s="16" t="s">
        <v>41</v>
      </c>
      <c r="J18" s="17">
        <v>24997</v>
      </c>
    </row>
    <row r="19" spans="1:10" ht="29.25" x14ac:dyDescent="0.25">
      <c r="B19" s="13" t="s">
        <v>47</v>
      </c>
      <c r="C19" s="14" t="s">
        <v>37</v>
      </c>
      <c r="D19" s="15" t="s">
        <v>38</v>
      </c>
      <c r="E19" s="15" t="s">
        <v>25</v>
      </c>
      <c r="F19" s="16" t="s">
        <v>48</v>
      </c>
      <c r="G19" s="16" t="s">
        <v>49</v>
      </c>
      <c r="H19" s="16" t="s">
        <v>19</v>
      </c>
      <c r="I19" s="16" t="s">
        <v>41</v>
      </c>
      <c r="J19" s="17">
        <v>30000</v>
      </c>
    </row>
    <row r="20" spans="1:10" s="23" customFormat="1" ht="29.25" x14ac:dyDescent="0.25">
      <c r="A20"/>
      <c r="B20" s="13" t="s">
        <v>50</v>
      </c>
      <c r="C20" s="14" t="s">
        <v>37</v>
      </c>
      <c r="D20" s="15" t="s">
        <v>38</v>
      </c>
      <c r="E20" s="15" t="s">
        <v>25</v>
      </c>
      <c r="F20" s="16" t="s">
        <v>51</v>
      </c>
      <c r="G20" s="16" t="s">
        <v>52</v>
      </c>
      <c r="H20" s="16" t="s">
        <v>19</v>
      </c>
      <c r="I20" s="16" t="s">
        <v>41</v>
      </c>
      <c r="J20" s="17">
        <v>59784</v>
      </c>
    </row>
    <row r="21" spans="1:10" s="23" customFormat="1" ht="29.25" x14ac:dyDescent="0.25">
      <c r="A21"/>
      <c r="B21" s="24">
        <v>12168</v>
      </c>
      <c r="C21" s="25" t="s">
        <v>37</v>
      </c>
      <c r="D21" s="26" t="s">
        <v>38</v>
      </c>
      <c r="E21" s="27" t="s">
        <v>25</v>
      </c>
      <c r="F21" s="28" t="s">
        <v>53</v>
      </c>
      <c r="G21" s="28" t="s">
        <v>54</v>
      </c>
      <c r="H21" s="27" t="s">
        <v>34</v>
      </c>
      <c r="I21" s="27" t="s">
        <v>41</v>
      </c>
      <c r="J21" s="17">
        <v>20000</v>
      </c>
    </row>
    <row r="22" spans="1:10" ht="29.25" x14ac:dyDescent="0.25">
      <c r="A22" s="29"/>
      <c r="B22" s="30" t="s">
        <v>55</v>
      </c>
      <c r="C22" s="19" t="s">
        <v>56</v>
      </c>
      <c r="D22" s="21" t="s">
        <v>57</v>
      </c>
      <c r="E22" s="21" t="s">
        <v>25</v>
      </c>
      <c r="F22" s="21" t="s">
        <v>51</v>
      </c>
      <c r="G22" s="21" t="s">
        <v>58</v>
      </c>
      <c r="H22" s="21" t="s">
        <v>19</v>
      </c>
      <c r="I22" s="21" t="s">
        <v>41</v>
      </c>
      <c r="J22" s="22">
        <v>50000</v>
      </c>
    </row>
    <row r="23" spans="1:10" s="32" customFormat="1" ht="16.5" x14ac:dyDescent="0.3">
      <c r="A23" s="31"/>
      <c r="B23" s="13" t="s">
        <v>59</v>
      </c>
      <c r="C23" s="14" t="s">
        <v>60</v>
      </c>
      <c r="D23" s="15" t="s">
        <v>61</v>
      </c>
      <c r="E23" s="15" t="s">
        <v>25</v>
      </c>
      <c r="F23" s="16" t="s">
        <v>62</v>
      </c>
      <c r="G23" s="16" t="s">
        <v>63</v>
      </c>
      <c r="H23" s="16" t="s">
        <v>19</v>
      </c>
      <c r="I23" s="16" t="s">
        <v>41</v>
      </c>
      <c r="J23" s="17">
        <v>2000</v>
      </c>
    </row>
    <row r="24" spans="1:10" s="32" customFormat="1" ht="16.5" x14ac:dyDescent="0.3">
      <c r="A24" s="31"/>
      <c r="B24" s="13" t="s">
        <v>64</v>
      </c>
      <c r="C24" s="14" t="s">
        <v>60</v>
      </c>
      <c r="D24" s="15" t="s">
        <v>61</v>
      </c>
      <c r="E24" s="15" t="s">
        <v>25</v>
      </c>
      <c r="F24" s="16" t="s">
        <v>62</v>
      </c>
      <c r="G24" s="16" t="s">
        <v>65</v>
      </c>
      <c r="H24" s="16" t="s">
        <v>19</v>
      </c>
      <c r="I24" s="16" t="s">
        <v>41</v>
      </c>
      <c r="J24" s="17">
        <v>1440</v>
      </c>
    </row>
    <row r="25" spans="1:10" s="23" customFormat="1" x14ac:dyDescent="0.25">
      <c r="A25"/>
      <c r="B25" s="6" t="s">
        <v>66</v>
      </c>
      <c r="C25" s="6"/>
      <c r="D25" s="6"/>
      <c r="E25" s="6"/>
      <c r="F25" s="6"/>
      <c r="G25" s="6"/>
      <c r="H25" s="7" t="s">
        <v>3</v>
      </c>
      <c r="I25" s="7"/>
      <c r="J25" s="8">
        <f>SUM(J28:J47)</f>
        <v>2992116.5</v>
      </c>
    </row>
    <row r="26" spans="1:10" s="23" customFormat="1" x14ac:dyDescent="0.25">
      <c r="A26"/>
      <c r="B26" s="6"/>
      <c r="C26" s="6"/>
      <c r="D26" s="6"/>
      <c r="E26" s="6"/>
      <c r="F26" s="6"/>
      <c r="G26" s="6"/>
      <c r="H26" s="7"/>
      <c r="I26" s="7"/>
      <c r="J26" s="9"/>
    </row>
    <row r="27" spans="1:10" s="23" customFormat="1" ht="29.25" x14ac:dyDescent="0.25">
      <c r="A27"/>
      <c r="B27" s="10" t="s">
        <v>4</v>
      </c>
      <c r="C27" s="10" t="s">
        <v>5</v>
      </c>
      <c r="D27" s="10" t="s">
        <v>6</v>
      </c>
      <c r="E27" s="10" t="s">
        <v>7</v>
      </c>
      <c r="F27" s="10" t="s">
        <v>8</v>
      </c>
      <c r="G27" s="10" t="s">
        <v>9</v>
      </c>
      <c r="H27" s="10" t="s">
        <v>10</v>
      </c>
      <c r="I27" s="10" t="s">
        <v>11</v>
      </c>
      <c r="J27" s="11" t="s">
        <v>12</v>
      </c>
    </row>
    <row r="28" spans="1:10" s="23" customFormat="1" ht="29.25" x14ac:dyDescent="0.25">
      <c r="A28"/>
      <c r="B28" s="13" t="s">
        <v>67</v>
      </c>
      <c r="C28" s="14" t="s">
        <v>68</v>
      </c>
      <c r="D28" s="15" t="s">
        <v>69</v>
      </c>
      <c r="E28" s="15" t="s">
        <v>70</v>
      </c>
      <c r="F28" s="16" t="s">
        <v>71</v>
      </c>
      <c r="G28" s="16" t="s">
        <v>72</v>
      </c>
      <c r="H28" s="16" t="s">
        <v>73</v>
      </c>
      <c r="I28" s="16" t="s">
        <v>74</v>
      </c>
      <c r="J28" s="17">
        <v>13000</v>
      </c>
    </row>
    <row r="29" spans="1:10" s="23" customFormat="1" x14ac:dyDescent="0.25">
      <c r="A29"/>
      <c r="B29" s="13" t="s">
        <v>75</v>
      </c>
      <c r="C29" s="14" t="s">
        <v>68</v>
      </c>
      <c r="D29" s="15" t="s">
        <v>69</v>
      </c>
      <c r="E29" s="15" t="s">
        <v>70</v>
      </c>
      <c r="F29" s="16" t="s">
        <v>76</v>
      </c>
      <c r="G29" s="16" t="s">
        <v>77</v>
      </c>
      <c r="H29" s="16" t="s">
        <v>34</v>
      </c>
      <c r="I29" s="16" t="s">
        <v>28</v>
      </c>
      <c r="J29" s="17">
        <v>100000</v>
      </c>
    </row>
    <row r="30" spans="1:10" s="23" customFormat="1" x14ac:dyDescent="0.25">
      <c r="A30"/>
      <c r="B30" s="33" t="s">
        <v>78</v>
      </c>
      <c r="C30" s="19" t="s">
        <v>68</v>
      </c>
      <c r="D30" s="21" t="s">
        <v>69</v>
      </c>
      <c r="E30" s="21" t="s">
        <v>70</v>
      </c>
      <c r="F30" s="21" t="s">
        <v>76</v>
      </c>
      <c r="G30" s="21" t="s">
        <v>77</v>
      </c>
      <c r="H30" s="21" t="s">
        <v>34</v>
      </c>
      <c r="I30" s="21" t="s">
        <v>28</v>
      </c>
      <c r="J30" s="22">
        <v>100000</v>
      </c>
    </row>
    <row r="31" spans="1:10" s="23" customFormat="1" ht="29.25" x14ac:dyDescent="0.25">
      <c r="A31"/>
      <c r="B31" s="13" t="s">
        <v>79</v>
      </c>
      <c r="C31" s="14" t="s">
        <v>80</v>
      </c>
      <c r="D31" s="15" t="s">
        <v>70</v>
      </c>
      <c r="E31" s="15" t="s">
        <v>70</v>
      </c>
      <c r="F31" s="16" t="s">
        <v>81</v>
      </c>
      <c r="G31" s="16" t="s">
        <v>82</v>
      </c>
      <c r="H31" s="16" t="s">
        <v>19</v>
      </c>
      <c r="I31" s="16" t="s">
        <v>83</v>
      </c>
      <c r="J31" s="17">
        <f>100000*50%</f>
        <v>50000</v>
      </c>
    </row>
    <row r="32" spans="1:10" s="23" customFormat="1" ht="29.25" x14ac:dyDescent="0.25">
      <c r="A32"/>
      <c r="B32" s="13" t="s">
        <v>84</v>
      </c>
      <c r="C32" s="14" t="s">
        <v>85</v>
      </c>
      <c r="D32" s="15" t="s">
        <v>70</v>
      </c>
      <c r="E32" s="15" t="s">
        <v>70</v>
      </c>
      <c r="F32" s="16" t="s">
        <v>86</v>
      </c>
      <c r="G32" s="16" t="s">
        <v>87</v>
      </c>
      <c r="H32" s="16" t="s">
        <v>88</v>
      </c>
      <c r="I32" s="16" t="s">
        <v>41</v>
      </c>
      <c r="J32" s="17">
        <v>356580</v>
      </c>
    </row>
    <row r="33" spans="1:10" s="23" customFormat="1" ht="29.25" x14ac:dyDescent="0.25">
      <c r="A33"/>
      <c r="B33" s="13" t="s">
        <v>84</v>
      </c>
      <c r="C33" s="14" t="s">
        <v>85</v>
      </c>
      <c r="D33" s="15" t="s">
        <v>70</v>
      </c>
      <c r="E33" s="15" t="s">
        <v>70</v>
      </c>
      <c r="F33" s="16" t="s">
        <v>86</v>
      </c>
      <c r="G33" s="16" t="s">
        <v>89</v>
      </c>
      <c r="H33" s="16" t="s">
        <v>88</v>
      </c>
      <c r="I33" s="16" t="s">
        <v>41</v>
      </c>
      <c r="J33" s="17">
        <v>410065</v>
      </c>
    </row>
    <row r="34" spans="1:10" x14ac:dyDescent="0.25">
      <c r="B34" s="13" t="s">
        <v>90</v>
      </c>
      <c r="C34" s="14" t="s">
        <v>85</v>
      </c>
      <c r="D34" s="15" t="s">
        <v>70</v>
      </c>
      <c r="E34" s="15" t="s">
        <v>70</v>
      </c>
      <c r="F34" s="16" t="s">
        <v>91</v>
      </c>
      <c r="G34" s="16" t="s">
        <v>92</v>
      </c>
      <c r="H34" s="16" t="s">
        <v>88</v>
      </c>
      <c r="I34" s="16" t="s">
        <v>41</v>
      </c>
      <c r="J34" s="17">
        <v>460000</v>
      </c>
    </row>
    <row r="35" spans="1:10" ht="29.25" x14ac:dyDescent="0.25">
      <c r="B35" s="13" t="s">
        <v>84</v>
      </c>
      <c r="C35" s="14" t="s">
        <v>85</v>
      </c>
      <c r="D35" s="15" t="s">
        <v>70</v>
      </c>
      <c r="E35" s="15" t="s">
        <v>70</v>
      </c>
      <c r="F35" s="16" t="s">
        <v>86</v>
      </c>
      <c r="G35" s="16" t="s">
        <v>93</v>
      </c>
      <c r="H35" s="16" t="s">
        <v>88</v>
      </c>
      <c r="I35" s="16" t="s">
        <v>41</v>
      </c>
      <c r="J35" s="17">
        <v>473653</v>
      </c>
    </row>
    <row r="36" spans="1:10" x14ac:dyDescent="0.25">
      <c r="B36" s="13" t="s">
        <v>22</v>
      </c>
      <c r="C36" s="14" t="s">
        <v>94</v>
      </c>
      <c r="D36" s="15" t="s">
        <v>95</v>
      </c>
      <c r="E36" s="15" t="s">
        <v>70</v>
      </c>
      <c r="F36" s="16" t="s">
        <v>22</v>
      </c>
      <c r="G36" s="16" t="s">
        <v>26</v>
      </c>
      <c r="H36" s="16" t="s">
        <v>27</v>
      </c>
      <c r="I36" s="16" t="s">
        <v>28</v>
      </c>
      <c r="J36" s="17">
        <v>62458</v>
      </c>
    </row>
    <row r="37" spans="1:10" x14ac:dyDescent="0.25">
      <c r="B37" s="13" t="s">
        <v>22</v>
      </c>
      <c r="C37" s="14" t="s">
        <v>94</v>
      </c>
      <c r="D37" s="15" t="s">
        <v>95</v>
      </c>
      <c r="E37" s="15" t="s">
        <v>70</v>
      </c>
      <c r="F37" s="16" t="s">
        <v>22</v>
      </c>
      <c r="G37" s="16" t="s">
        <v>29</v>
      </c>
      <c r="H37" s="16" t="s">
        <v>27</v>
      </c>
      <c r="I37" s="16" t="s">
        <v>28</v>
      </c>
      <c r="J37" s="17">
        <v>84048</v>
      </c>
    </row>
    <row r="38" spans="1:10" x14ac:dyDescent="0.25">
      <c r="B38" s="13" t="s">
        <v>22</v>
      </c>
      <c r="C38" s="14" t="s">
        <v>94</v>
      </c>
      <c r="D38" s="15" t="s">
        <v>95</v>
      </c>
      <c r="E38" s="15" t="s">
        <v>70</v>
      </c>
      <c r="F38" s="16" t="s">
        <v>22</v>
      </c>
      <c r="G38" s="16" t="s">
        <v>30</v>
      </c>
      <c r="H38" s="16" t="s">
        <v>27</v>
      </c>
      <c r="I38" s="16" t="s">
        <v>28</v>
      </c>
      <c r="J38" s="17">
        <v>84691</v>
      </c>
    </row>
    <row r="39" spans="1:10" x14ac:dyDescent="0.25">
      <c r="B39" s="18" t="s">
        <v>22</v>
      </c>
      <c r="C39" s="19" t="s">
        <v>94</v>
      </c>
      <c r="D39" s="20" t="s">
        <v>95</v>
      </c>
      <c r="E39" s="20" t="s">
        <v>70</v>
      </c>
      <c r="F39" s="21" t="s">
        <v>22</v>
      </c>
      <c r="G39" s="21" t="s">
        <v>35</v>
      </c>
      <c r="H39" s="21" t="s">
        <v>27</v>
      </c>
      <c r="I39" s="21" t="s">
        <v>28</v>
      </c>
      <c r="J39" s="22">
        <v>139821</v>
      </c>
    </row>
    <row r="40" spans="1:10" s="23" customFormat="1" ht="29.25" x14ac:dyDescent="0.25">
      <c r="A40"/>
      <c r="B40" s="13" t="s">
        <v>96</v>
      </c>
      <c r="C40" s="14" t="s">
        <v>97</v>
      </c>
      <c r="D40" s="15" t="s">
        <v>98</v>
      </c>
      <c r="E40" s="15" t="s">
        <v>70</v>
      </c>
      <c r="F40" s="16" t="s">
        <v>99</v>
      </c>
      <c r="G40" s="16" t="s">
        <v>100</v>
      </c>
      <c r="H40" s="16" t="s">
        <v>73</v>
      </c>
      <c r="I40" s="16" t="s">
        <v>101</v>
      </c>
      <c r="J40" s="17">
        <v>37187.5</v>
      </c>
    </row>
    <row r="41" spans="1:10" s="23" customFormat="1" ht="29.25" x14ac:dyDescent="0.25">
      <c r="A41"/>
      <c r="B41" s="13" t="s">
        <v>102</v>
      </c>
      <c r="C41" s="14" t="s">
        <v>94</v>
      </c>
      <c r="D41" s="15" t="s">
        <v>103</v>
      </c>
      <c r="E41" s="15" t="s">
        <v>70</v>
      </c>
      <c r="F41" s="16" t="s">
        <v>104</v>
      </c>
      <c r="G41" s="16" t="s">
        <v>105</v>
      </c>
      <c r="H41" s="16" t="s">
        <v>34</v>
      </c>
      <c r="I41" s="16" t="s">
        <v>28</v>
      </c>
      <c r="J41" s="17">
        <v>18500</v>
      </c>
    </row>
    <row r="42" spans="1:10" s="23" customFormat="1" x14ac:dyDescent="0.25">
      <c r="A42"/>
      <c r="B42" s="13" t="s">
        <v>22</v>
      </c>
      <c r="C42" s="14" t="s">
        <v>94</v>
      </c>
      <c r="D42" s="15" t="s">
        <v>103</v>
      </c>
      <c r="E42" s="15" t="s">
        <v>70</v>
      </c>
      <c r="F42" s="16" t="s">
        <v>22</v>
      </c>
      <c r="G42" s="16" t="s">
        <v>106</v>
      </c>
      <c r="H42" s="16" t="s">
        <v>27</v>
      </c>
      <c r="I42" s="16" t="s">
        <v>28</v>
      </c>
      <c r="J42" s="17">
        <v>520</v>
      </c>
    </row>
    <row r="43" spans="1:10" x14ac:dyDescent="0.25">
      <c r="A43" s="29"/>
      <c r="B43" s="34" t="s">
        <v>22</v>
      </c>
      <c r="C43" s="14" t="s">
        <v>94</v>
      </c>
      <c r="D43" s="15" t="s">
        <v>103</v>
      </c>
      <c r="E43" s="15" t="s">
        <v>70</v>
      </c>
      <c r="F43" s="16" t="s">
        <v>22</v>
      </c>
      <c r="G43" s="16" t="s">
        <v>107</v>
      </c>
      <c r="H43" s="16" t="s">
        <v>27</v>
      </c>
      <c r="I43" s="16" t="s">
        <v>28</v>
      </c>
      <c r="J43" s="17">
        <v>1010</v>
      </c>
    </row>
    <row r="44" spans="1:10" s="23" customFormat="1" x14ac:dyDescent="0.25">
      <c r="A44"/>
      <c r="B44" s="13" t="s">
        <v>22</v>
      </c>
      <c r="C44" s="14" t="s">
        <v>94</v>
      </c>
      <c r="D44" s="15" t="s">
        <v>103</v>
      </c>
      <c r="E44" s="15" t="s">
        <v>70</v>
      </c>
      <c r="F44" s="16" t="s">
        <v>22</v>
      </c>
      <c r="G44" s="16" t="s">
        <v>108</v>
      </c>
      <c r="H44" s="16" t="s">
        <v>27</v>
      </c>
      <c r="I44" s="16" t="s">
        <v>28</v>
      </c>
      <c r="J44" s="17">
        <v>1720</v>
      </c>
    </row>
    <row r="45" spans="1:10" s="23" customFormat="1" ht="29.25" x14ac:dyDescent="0.25">
      <c r="A45"/>
      <c r="B45" s="24">
        <v>12172</v>
      </c>
      <c r="C45" s="25" t="s">
        <v>94</v>
      </c>
      <c r="D45" s="25" t="s">
        <v>103</v>
      </c>
      <c r="E45" s="26" t="s">
        <v>109</v>
      </c>
      <c r="F45" s="28" t="s">
        <v>104</v>
      </c>
      <c r="G45" s="28" t="s">
        <v>110</v>
      </c>
      <c r="H45" s="27" t="s">
        <v>34</v>
      </c>
      <c r="I45" s="27" t="s">
        <v>41</v>
      </c>
      <c r="J45" s="17">
        <v>241473</v>
      </c>
    </row>
    <row r="46" spans="1:10" s="32" customFormat="1" ht="30" x14ac:dyDescent="0.3">
      <c r="A46" s="31"/>
      <c r="B46" s="13" t="s">
        <v>111</v>
      </c>
      <c r="C46" s="14" t="s">
        <v>112</v>
      </c>
      <c r="D46" s="15" t="s">
        <v>113</v>
      </c>
      <c r="E46" s="15" t="s">
        <v>70</v>
      </c>
      <c r="F46" s="16" t="s">
        <v>114</v>
      </c>
      <c r="G46" s="16" t="s">
        <v>115</v>
      </c>
      <c r="H46" s="16" t="s">
        <v>34</v>
      </c>
      <c r="I46" s="16" t="s">
        <v>116</v>
      </c>
      <c r="J46" s="17">
        <f>595650*20%</f>
        <v>119130</v>
      </c>
    </row>
    <row r="47" spans="1:10" s="32" customFormat="1" ht="30" x14ac:dyDescent="0.3">
      <c r="A47" s="31"/>
      <c r="B47" s="13" t="s">
        <v>111</v>
      </c>
      <c r="C47" s="14" t="s">
        <v>117</v>
      </c>
      <c r="D47" s="15" t="s">
        <v>113</v>
      </c>
      <c r="E47" s="15" t="s">
        <v>70</v>
      </c>
      <c r="F47" s="16" t="s">
        <v>114</v>
      </c>
      <c r="G47" s="16" t="s">
        <v>115</v>
      </c>
      <c r="H47" s="16" t="s">
        <v>34</v>
      </c>
      <c r="I47" s="16" t="s">
        <v>116</v>
      </c>
      <c r="J47" s="17">
        <f>595650*40%</f>
        <v>238260</v>
      </c>
    </row>
    <row r="48" spans="1:10" s="23" customFormat="1" x14ac:dyDescent="0.25">
      <c r="A48"/>
      <c r="B48" s="6" t="s">
        <v>118</v>
      </c>
      <c r="C48" s="6"/>
      <c r="D48" s="6"/>
      <c r="E48" s="6"/>
      <c r="F48" s="6"/>
      <c r="G48" s="6"/>
      <c r="H48" s="7" t="s">
        <v>3</v>
      </c>
      <c r="I48" s="7"/>
      <c r="J48" s="8">
        <f>SUM(J51:J96)</f>
        <v>8099350.1850000005</v>
      </c>
    </row>
    <row r="49" spans="1:10" s="23" customFormat="1" x14ac:dyDescent="0.25">
      <c r="A49"/>
      <c r="B49" s="6"/>
      <c r="C49" s="6"/>
      <c r="D49" s="6"/>
      <c r="E49" s="6"/>
      <c r="F49" s="6"/>
      <c r="G49" s="6"/>
      <c r="H49" s="7"/>
      <c r="I49" s="7"/>
      <c r="J49" s="9"/>
    </row>
    <row r="50" spans="1:10" s="23" customFormat="1" ht="29.25" x14ac:dyDescent="0.25">
      <c r="A50"/>
      <c r="B50" s="10" t="s">
        <v>4</v>
      </c>
      <c r="C50" s="10" t="s">
        <v>5</v>
      </c>
      <c r="D50" s="10" t="s">
        <v>6</v>
      </c>
      <c r="E50" s="10" t="s">
        <v>7</v>
      </c>
      <c r="F50" s="10" t="s">
        <v>8</v>
      </c>
      <c r="G50" s="10" t="s">
        <v>9</v>
      </c>
      <c r="H50" s="10" t="s">
        <v>10</v>
      </c>
      <c r="I50" s="10" t="s">
        <v>11</v>
      </c>
      <c r="J50" s="11" t="s">
        <v>12</v>
      </c>
    </row>
    <row r="51" spans="1:10" ht="29.25" x14ac:dyDescent="0.25">
      <c r="B51" s="13" t="s">
        <v>119</v>
      </c>
      <c r="C51" s="14" t="s">
        <v>120</v>
      </c>
      <c r="D51" s="15" t="s">
        <v>121</v>
      </c>
      <c r="E51" s="15" t="s">
        <v>122</v>
      </c>
      <c r="F51" s="16" t="s">
        <v>123</v>
      </c>
      <c r="G51" s="16" t="s">
        <v>124</v>
      </c>
      <c r="H51" s="16" t="s">
        <v>19</v>
      </c>
      <c r="I51" s="16" t="s">
        <v>28</v>
      </c>
      <c r="J51" s="17">
        <v>2493.63</v>
      </c>
    </row>
    <row r="52" spans="1:10" ht="29.25" x14ac:dyDescent="0.25">
      <c r="B52" s="13" t="s">
        <v>125</v>
      </c>
      <c r="C52" s="14" t="s">
        <v>120</v>
      </c>
      <c r="D52" s="15" t="s">
        <v>121</v>
      </c>
      <c r="E52" s="15" t="s">
        <v>122</v>
      </c>
      <c r="F52" s="16" t="s">
        <v>123</v>
      </c>
      <c r="G52" s="16" t="s">
        <v>126</v>
      </c>
      <c r="H52" s="16" t="s">
        <v>19</v>
      </c>
      <c r="I52" s="16" t="s">
        <v>28</v>
      </c>
      <c r="J52" s="17">
        <v>13900</v>
      </c>
    </row>
    <row r="53" spans="1:10" s="23" customFormat="1" x14ac:dyDescent="0.25">
      <c r="A53"/>
      <c r="B53" s="13" t="s">
        <v>22</v>
      </c>
      <c r="C53" s="14" t="s">
        <v>120</v>
      </c>
      <c r="D53" s="15" t="s">
        <v>121</v>
      </c>
      <c r="E53" s="15" t="s">
        <v>122</v>
      </c>
      <c r="F53" s="16" t="s">
        <v>22</v>
      </c>
      <c r="G53" s="16" t="s">
        <v>29</v>
      </c>
      <c r="H53" s="16" t="s">
        <v>27</v>
      </c>
      <c r="I53" s="16" t="s">
        <v>28</v>
      </c>
      <c r="J53" s="17">
        <v>94667</v>
      </c>
    </row>
    <row r="54" spans="1:10" s="23" customFormat="1" x14ac:dyDescent="0.25">
      <c r="A54"/>
      <c r="B54" s="13" t="s">
        <v>22</v>
      </c>
      <c r="C54" s="14" t="s">
        <v>120</v>
      </c>
      <c r="D54" s="15" t="s">
        <v>121</v>
      </c>
      <c r="E54" s="15" t="s">
        <v>122</v>
      </c>
      <c r="F54" s="16" t="s">
        <v>22</v>
      </c>
      <c r="G54" s="16" t="s">
        <v>26</v>
      </c>
      <c r="H54" s="16" t="s">
        <v>27</v>
      </c>
      <c r="I54" s="16" t="s">
        <v>28</v>
      </c>
      <c r="J54" s="17">
        <v>95357</v>
      </c>
    </row>
    <row r="55" spans="1:10" s="23" customFormat="1" x14ac:dyDescent="0.25">
      <c r="A55"/>
      <c r="B55" s="13" t="s">
        <v>22</v>
      </c>
      <c r="C55" s="14" t="s">
        <v>120</v>
      </c>
      <c r="D55" s="15" t="s">
        <v>121</v>
      </c>
      <c r="E55" s="15" t="s">
        <v>122</v>
      </c>
      <c r="F55" s="16" t="s">
        <v>22</v>
      </c>
      <c r="G55" s="16" t="s">
        <v>30</v>
      </c>
      <c r="H55" s="16" t="s">
        <v>27</v>
      </c>
      <c r="I55" s="16" t="s">
        <v>28</v>
      </c>
      <c r="J55" s="17">
        <v>122730</v>
      </c>
    </row>
    <row r="56" spans="1:10" s="23" customFormat="1" x14ac:dyDescent="0.25">
      <c r="A56"/>
      <c r="B56" s="18" t="s">
        <v>22</v>
      </c>
      <c r="C56" s="19" t="s">
        <v>120</v>
      </c>
      <c r="D56" s="20" t="s">
        <v>121</v>
      </c>
      <c r="E56" s="20" t="s">
        <v>122</v>
      </c>
      <c r="F56" s="21" t="s">
        <v>22</v>
      </c>
      <c r="G56" s="21" t="s">
        <v>35</v>
      </c>
      <c r="H56" s="21" t="s">
        <v>27</v>
      </c>
      <c r="I56" s="21" t="s">
        <v>28</v>
      </c>
      <c r="J56" s="22">
        <v>111399</v>
      </c>
    </row>
    <row r="57" spans="1:10" s="23" customFormat="1" x14ac:dyDescent="0.25">
      <c r="A57"/>
      <c r="B57" s="13" t="s">
        <v>127</v>
      </c>
      <c r="C57" s="14" t="s">
        <v>128</v>
      </c>
      <c r="D57" s="15" t="s">
        <v>129</v>
      </c>
      <c r="E57" s="15" t="s">
        <v>122</v>
      </c>
      <c r="F57" s="16" t="s">
        <v>130</v>
      </c>
      <c r="G57" s="16" t="s">
        <v>131</v>
      </c>
      <c r="H57" s="16" t="s">
        <v>34</v>
      </c>
      <c r="I57" s="16" t="s">
        <v>41</v>
      </c>
      <c r="J57" s="17">
        <v>7500</v>
      </c>
    </row>
    <row r="58" spans="1:10" s="23" customFormat="1" ht="29.25" x14ac:dyDescent="0.25">
      <c r="A58"/>
      <c r="B58" s="13" t="s">
        <v>132</v>
      </c>
      <c r="C58" s="14" t="s">
        <v>133</v>
      </c>
      <c r="D58" s="15" t="s">
        <v>129</v>
      </c>
      <c r="E58" s="15" t="s">
        <v>122</v>
      </c>
      <c r="F58" s="16" t="s">
        <v>134</v>
      </c>
      <c r="G58" s="16" t="s">
        <v>135</v>
      </c>
      <c r="H58" s="16" t="s">
        <v>19</v>
      </c>
      <c r="I58" s="16" t="s">
        <v>41</v>
      </c>
      <c r="J58" s="17">
        <v>11087</v>
      </c>
    </row>
    <row r="59" spans="1:10" s="23" customFormat="1" ht="29.25" x14ac:dyDescent="0.25">
      <c r="A59"/>
      <c r="B59" s="13" t="s">
        <v>136</v>
      </c>
      <c r="C59" s="14" t="s">
        <v>137</v>
      </c>
      <c r="D59" s="15" t="s">
        <v>129</v>
      </c>
      <c r="E59" s="15" t="s">
        <v>122</v>
      </c>
      <c r="F59" s="16" t="s">
        <v>81</v>
      </c>
      <c r="G59" s="16" t="s">
        <v>138</v>
      </c>
      <c r="H59" s="16" t="s">
        <v>19</v>
      </c>
      <c r="I59" s="16" t="s">
        <v>41</v>
      </c>
      <c r="J59" s="17">
        <f>486425*10%</f>
        <v>48642.5</v>
      </c>
    </row>
    <row r="60" spans="1:10" s="23" customFormat="1" ht="29.25" x14ac:dyDescent="0.25">
      <c r="A60"/>
      <c r="B60" s="13" t="s">
        <v>136</v>
      </c>
      <c r="C60" s="14" t="s">
        <v>139</v>
      </c>
      <c r="D60" s="15" t="s">
        <v>129</v>
      </c>
      <c r="E60" s="15" t="s">
        <v>122</v>
      </c>
      <c r="F60" s="16" t="s">
        <v>81</v>
      </c>
      <c r="G60" s="16" t="s">
        <v>138</v>
      </c>
      <c r="H60" s="16" t="s">
        <v>19</v>
      </c>
      <c r="I60" s="16" t="s">
        <v>41</v>
      </c>
      <c r="J60" s="17">
        <f>486425*25%</f>
        <v>121606.25</v>
      </c>
    </row>
    <row r="61" spans="1:10" s="23" customFormat="1" ht="29.25" x14ac:dyDescent="0.25">
      <c r="A61"/>
      <c r="B61" s="13" t="s">
        <v>136</v>
      </c>
      <c r="C61" s="14" t="s">
        <v>140</v>
      </c>
      <c r="D61" s="15" t="s">
        <v>129</v>
      </c>
      <c r="E61" s="15" t="s">
        <v>122</v>
      </c>
      <c r="F61" s="16" t="s">
        <v>81</v>
      </c>
      <c r="G61" s="16" t="s">
        <v>138</v>
      </c>
      <c r="H61" s="16" t="s">
        <v>19</v>
      </c>
      <c r="I61" s="16" t="s">
        <v>41</v>
      </c>
      <c r="J61" s="17">
        <f>486425*25%</f>
        <v>121606.25</v>
      </c>
    </row>
    <row r="62" spans="1:10" s="23" customFormat="1" ht="29.25" x14ac:dyDescent="0.25">
      <c r="A62"/>
      <c r="B62" s="13" t="s">
        <v>141</v>
      </c>
      <c r="C62" s="14" t="s">
        <v>142</v>
      </c>
      <c r="D62" s="15" t="s">
        <v>129</v>
      </c>
      <c r="E62" s="15" t="s">
        <v>122</v>
      </c>
      <c r="F62" s="16" t="s">
        <v>81</v>
      </c>
      <c r="G62" s="16" t="s">
        <v>143</v>
      </c>
      <c r="H62" s="16" t="s">
        <v>19</v>
      </c>
      <c r="I62" s="16" t="s">
        <v>41</v>
      </c>
      <c r="J62" s="17">
        <f>641991*50%</f>
        <v>320995.5</v>
      </c>
    </row>
    <row r="63" spans="1:10" s="23" customFormat="1" ht="29.25" x14ac:dyDescent="0.25">
      <c r="A63"/>
      <c r="B63" s="13" t="s">
        <v>144</v>
      </c>
      <c r="C63" s="14" t="s">
        <v>142</v>
      </c>
      <c r="D63" s="15" t="s">
        <v>129</v>
      </c>
      <c r="E63" s="15" t="s">
        <v>122</v>
      </c>
      <c r="F63" s="16" t="s">
        <v>114</v>
      </c>
      <c r="G63" s="16" t="s">
        <v>145</v>
      </c>
      <c r="H63" s="16" t="s">
        <v>34</v>
      </c>
      <c r="I63" s="16" t="s">
        <v>41</v>
      </c>
      <c r="J63" s="17">
        <f>1171884*50%</f>
        <v>585942</v>
      </c>
    </row>
    <row r="64" spans="1:10" s="23" customFormat="1" ht="29.25" x14ac:dyDescent="0.25">
      <c r="A64"/>
      <c r="B64" s="24">
        <v>12173</v>
      </c>
      <c r="C64" s="25" t="s">
        <v>128</v>
      </c>
      <c r="D64" s="25" t="s">
        <v>129</v>
      </c>
      <c r="E64" s="26" t="s">
        <v>122</v>
      </c>
      <c r="F64" s="28" t="s">
        <v>146</v>
      </c>
      <c r="G64" s="28" t="s">
        <v>147</v>
      </c>
      <c r="H64" s="27" t="s">
        <v>73</v>
      </c>
      <c r="I64" s="27" t="s">
        <v>101</v>
      </c>
      <c r="J64" s="17">
        <v>24911</v>
      </c>
    </row>
    <row r="65" spans="1:10" s="23" customFormat="1" ht="29.25" x14ac:dyDescent="0.25">
      <c r="A65"/>
      <c r="B65" s="13" t="s">
        <v>148</v>
      </c>
      <c r="C65" s="14" t="s">
        <v>149</v>
      </c>
      <c r="D65" s="15" t="s">
        <v>150</v>
      </c>
      <c r="E65" s="15" t="s">
        <v>122</v>
      </c>
      <c r="F65" s="16" t="s">
        <v>51</v>
      </c>
      <c r="G65" s="16" t="s">
        <v>151</v>
      </c>
      <c r="H65" s="16" t="s">
        <v>19</v>
      </c>
      <c r="I65" s="16" t="s">
        <v>28</v>
      </c>
      <c r="J65" s="17">
        <f>90000*10%</f>
        <v>9000</v>
      </c>
    </row>
    <row r="66" spans="1:10" s="23" customFormat="1" ht="29.25" x14ac:dyDescent="0.25">
      <c r="A66"/>
      <c r="B66" s="13" t="s">
        <v>148</v>
      </c>
      <c r="C66" s="14" t="s">
        <v>152</v>
      </c>
      <c r="D66" s="15" t="s">
        <v>150</v>
      </c>
      <c r="E66" s="15" t="s">
        <v>122</v>
      </c>
      <c r="F66" s="16" t="s">
        <v>51</v>
      </c>
      <c r="G66" s="16" t="s">
        <v>151</v>
      </c>
      <c r="H66" s="16" t="s">
        <v>19</v>
      </c>
      <c r="I66" s="16" t="s">
        <v>28</v>
      </c>
      <c r="J66" s="17">
        <f>90000*90%</f>
        <v>81000</v>
      </c>
    </row>
    <row r="67" spans="1:10" s="23" customFormat="1" ht="29.25" x14ac:dyDescent="0.25">
      <c r="A67"/>
      <c r="B67" s="13" t="s">
        <v>153</v>
      </c>
      <c r="C67" s="14" t="s">
        <v>154</v>
      </c>
      <c r="D67" s="15" t="s">
        <v>150</v>
      </c>
      <c r="E67" s="15" t="s">
        <v>122</v>
      </c>
      <c r="F67" s="16" t="s">
        <v>51</v>
      </c>
      <c r="G67" s="16" t="s">
        <v>155</v>
      </c>
      <c r="H67" s="16" t="s">
        <v>19</v>
      </c>
      <c r="I67" s="16" t="s">
        <v>41</v>
      </c>
      <c r="J67" s="17">
        <v>579488.41</v>
      </c>
    </row>
    <row r="68" spans="1:10" s="23" customFormat="1" x14ac:dyDescent="0.25">
      <c r="A68"/>
      <c r="B68" s="13" t="s">
        <v>22</v>
      </c>
      <c r="C68" s="14" t="s">
        <v>154</v>
      </c>
      <c r="D68" s="15" t="s">
        <v>150</v>
      </c>
      <c r="E68" s="15" t="s">
        <v>122</v>
      </c>
      <c r="F68" s="16" t="s">
        <v>22</v>
      </c>
      <c r="G68" s="16" t="s">
        <v>106</v>
      </c>
      <c r="H68" s="16" t="s">
        <v>27</v>
      </c>
      <c r="I68" s="16" t="s">
        <v>28</v>
      </c>
      <c r="J68" s="17">
        <v>362</v>
      </c>
    </row>
    <row r="69" spans="1:10" s="23" customFormat="1" x14ac:dyDescent="0.25">
      <c r="A69"/>
      <c r="B69" s="13" t="s">
        <v>22</v>
      </c>
      <c r="C69" s="14" t="s">
        <v>154</v>
      </c>
      <c r="D69" s="15" t="s">
        <v>150</v>
      </c>
      <c r="E69" s="15" t="s">
        <v>122</v>
      </c>
      <c r="F69" s="16" t="s">
        <v>22</v>
      </c>
      <c r="G69" s="16" t="s">
        <v>108</v>
      </c>
      <c r="H69" s="16" t="s">
        <v>27</v>
      </c>
      <c r="I69" s="16" t="s">
        <v>28</v>
      </c>
      <c r="J69" s="17">
        <v>1950</v>
      </c>
    </row>
    <row r="70" spans="1:10" s="23" customFormat="1" x14ac:dyDescent="0.25">
      <c r="A70"/>
      <c r="B70" s="13" t="s">
        <v>22</v>
      </c>
      <c r="C70" s="14" t="s">
        <v>154</v>
      </c>
      <c r="D70" s="15" t="s">
        <v>150</v>
      </c>
      <c r="E70" s="15" t="s">
        <v>122</v>
      </c>
      <c r="F70" s="16" t="s">
        <v>22</v>
      </c>
      <c r="G70" s="16" t="s">
        <v>107</v>
      </c>
      <c r="H70" s="16" t="s">
        <v>27</v>
      </c>
      <c r="I70" s="16" t="s">
        <v>28</v>
      </c>
      <c r="J70" s="17">
        <v>4112</v>
      </c>
    </row>
    <row r="71" spans="1:10" s="23" customFormat="1" x14ac:dyDescent="0.25">
      <c r="A71"/>
      <c r="B71" s="18" t="s">
        <v>22</v>
      </c>
      <c r="C71" s="19" t="s">
        <v>154</v>
      </c>
      <c r="D71" s="20" t="s">
        <v>150</v>
      </c>
      <c r="E71" s="20" t="s">
        <v>122</v>
      </c>
      <c r="F71" s="21" t="s">
        <v>22</v>
      </c>
      <c r="G71" s="21" t="s">
        <v>35</v>
      </c>
      <c r="H71" s="21" t="s">
        <v>27</v>
      </c>
      <c r="I71" s="21" t="s">
        <v>28</v>
      </c>
      <c r="J71" s="22">
        <v>2854</v>
      </c>
    </row>
    <row r="72" spans="1:10" s="23" customFormat="1" x14ac:dyDescent="0.25">
      <c r="A72"/>
      <c r="B72" s="13" t="s">
        <v>156</v>
      </c>
      <c r="C72" s="14" t="s">
        <v>157</v>
      </c>
      <c r="D72" s="15" t="s">
        <v>122</v>
      </c>
      <c r="E72" s="15" t="s">
        <v>122</v>
      </c>
      <c r="F72" s="16" t="s">
        <v>158</v>
      </c>
      <c r="G72" s="16" t="s">
        <v>159</v>
      </c>
      <c r="H72" s="16" t="s">
        <v>34</v>
      </c>
      <c r="I72" s="16" t="s">
        <v>28</v>
      </c>
      <c r="J72" s="17">
        <v>3000</v>
      </c>
    </row>
    <row r="73" spans="1:10" s="23" customFormat="1" ht="29.25" x14ac:dyDescent="0.25">
      <c r="A73"/>
      <c r="B73" s="13" t="s">
        <v>160</v>
      </c>
      <c r="C73" s="14" t="s">
        <v>154</v>
      </c>
      <c r="D73" s="15" t="s">
        <v>122</v>
      </c>
      <c r="E73" s="15" t="s">
        <v>122</v>
      </c>
      <c r="F73" s="16" t="s">
        <v>161</v>
      </c>
      <c r="G73" s="16" t="s">
        <v>162</v>
      </c>
      <c r="H73" s="16" t="s">
        <v>34</v>
      </c>
      <c r="I73" s="16" t="s">
        <v>41</v>
      </c>
      <c r="J73" s="17">
        <f>192831.29*50%</f>
        <v>96415.645000000004</v>
      </c>
    </row>
    <row r="74" spans="1:10" s="23" customFormat="1" x14ac:dyDescent="0.25">
      <c r="A74"/>
      <c r="B74" s="13" t="s">
        <v>163</v>
      </c>
      <c r="C74" s="14" t="s">
        <v>154</v>
      </c>
      <c r="D74" s="15" t="s">
        <v>122</v>
      </c>
      <c r="E74" s="15" t="s">
        <v>122</v>
      </c>
      <c r="F74" s="16" t="s">
        <v>114</v>
      </c>
      <c r="G74" s="16" t="s">
        <v>162</v>
      </c>
      <c r="H74" s="16" t="s">
        <v>34</v>
      </c>
      <c r="I74" s="16" t="s">
        <v>41</v>
      </c>
      <c r="J74" s="17">
        <f>1497958*50%</f>
        <v>748979</v>
      </c>
    </row>
    <row r="75" spans="1:10" s="23" customFormat="1" x14ac:dyDescent="0.25">
      <c r="A75"/>
      <c r="B75" s="13" t="s">
        <v>22</v>
      </c>
      <c r="C75" s="14" t="s">
        <v>164</v>
      </c>
      <c r="D75" s="15" t="s">
        <v>165</v>
      </c>
      <c r="E75" s="15" t="s">
        <v>122</v>
      </c>
      <c r="F75" s="16" t="s">
        <v>22</v>
      </c>
      <c r="G75" s="16" t="s">
        <v>29</v>
      </c>
      <c r="H75" s="16" t="s">
        <v>27</v>
      </c>
      <c r="I75" s="16" t="s">
        <v>28</v>
      </c>
      <c r="J75" s="17">
        <v>1683</v>
      </c>
    </row>
    <row r="76" spans="1:10" s="23" customFormat="1" x14ac:dyDescent="0.25">
      <c r="A76"/>
      <c r="B76" s="13" t="s">
        <v>22</v>
      </c>
      <c r="C76" s="14" t="s">
        <v>164</v>
      </c>
      <c r="D76" s="15" t="s">
        <v>165</v>
      </c>
      <c r="E76" s="15" t="s">
        <v>122</v>
      </c>
      <c r="F76" s="16" t="s">
        <v>22</v>
      </c>
      <c r="G76" s="16" t="s">
        <v>26</v>
      </c>
      <c r="H76" s="16" t="s">
        <v>27</v>
      </c>
      <c r="I76" s="16" t="s">
        <v>28</v>
      </c>
      <c r="J76" s="17">
        <v>1830</v>
      </c>
    </row>
    <row r="77" spans="1:10" s="23" customFormat="1" x14ac:dyDescent="0.25">
      <c r="A77"/>
      <c r="B77" s="13" t="s">
        <v>22</v>
      </c>
      <c r="C77" s="14" t="s">
        <v>164</v>
      </c>
      <c r="D77" s="15" t="s">
        <v>165</v>
      </c>
      <c r="E77" s="15" t="s">
        <v>122</v>
      </c>
      <c r="F77" s="16" t="s">
        <v>22</v>
      </c>
      <c r="G77" s="16" t="s">
        <v>30</v>
      </c>
      <c r="H77" s="16" t="s">
        <v>27</v>
      </c>
      <c r="I77" s="16" t="s">
        <v>28</v>
      </c>
      <c r="J77" s="17">
        <v>1830</v>
      </c>
    </row>
    <row r="78" spans="1:10" s="23" customFormat="1" x14ac:dyDescent="0.25">
      <c r="A78"/>
      <c r="B78" s="18" t="s">
        <v>22</v>
      </c>
      <c r="C78" s="19" t="s">
        <v>164</v>
      </c>
      <c r="D78" s="20" t="s">
        <v>165</v>
      </c>
      <c r="E78" s="20" t="s">
        <v>122</v>
      </c>
      <c r="F78" s="21" t="s">
        <v>22</v>
      </c>
      <c r="G78" s="21" t="s">
        <v>35</v>
      </c>
      <c r="H78" s="21" t="s">
        <v>27</v>
      </c>
      <c r="I78" s="21" t="s">
        <v>28</v>
      </c>
      <c r="J78" s="22">
        <v>1580</v>
      </c>
    </row>
    <row r="79" spans="1:10" s="23" customFormat="1" ht="29.25" x14ac:dyDescent="0.25">
      <c r="A79"/>
      <c r="B79" s="13" t="s">
        <v>166</v>
      </c>
      <c r="C79" s="14" t="s">
        <v>167</v>
      </c>
      <c r="D79" s="15" t="s">
        <v>168</v>
      </c>
      <c r="E79" s="15" t="s">
        <v>122</v>
      </c>
      <c r="F79" s="16" t="s">
        <v>169</v>
      </c>
      <c r="G79" s="16" t="s">
        <v>170</v>
      </c>
      <c r="H79" s="16" t="s">
        <v>34</v>
      </c>
      <c r="I79" s="16" t="s">
        <v>41</v>
      </c>
      <c r="J79" s="17">
        <f>2962134*20%</f>
        <v>592426.80000000005</v>
      </c>
    </row>
    <row r="80" spans="1:10" s="23" customFormat="1" ht="29.25" x14ac:dyDescent="0.25">
      <c r="A80"/>
      <c r="B80" s="13" t="s">
        <v>166</v>
      </c>
      <c r="C80" s="14" t="s">
        <v>154</v>
      </c>
      <c r="D80" s="15" t="s">
        <v>168</v>
      </c>
      <c r="E80" s="15" t="s">
        <v>122</v>
      </c>
      <c r="F80" s="16" t="s">
        <v>169</v>
      </c>
      <c r="G80" s="16" t="s">
        <v>170</v>
      </c>
      <c r="H80" s="16" t="s">
        <v>34</v>
      </c>
      <c r="I80" s="16" t="s">
        <v>41</v>
      </c>
      <c r="J80" s="17">
        <f>2962134/4</f>
        <v>740533.5</v>
      </c>
    </row>
    <row r="81" spans="1:10" s="23" customFormat="1" ht="29.25" x14ac:dyDescent="0.25">
      <c r="A81"/>
      <c r="B81" s="13" t="s">
        <v>166</v>
      </c>
      <c r="C81" s="14" t="s">
        <v>171</v>
      </c>
      <c r="D81" s="15" t="s">
        <v>168</v>
      </c>
      <c r="E81" s="15" t="s">
        <v>122</v>
      </c>
      <c r="F81" s="16" t="s">
        <v>169</v>
      </c>
      <c r="G81" s="16" t="s">
        <v>170</v>
      </c>
      <c r="H81" s="16" t="s">
        <v>34</v>
      </c>
      <c r="I81" s="16" t="s">
        <v>41</v>
      </c>
      <c r="J81" s="17">
        <f>2962134/4</f>
        <v>740533.5</v>
      </c>
    </row>
    <row r="82" spans="1:10" s="23" customFormat="1" x14ac:dyDescent="0.25">
      <c r="A82"/>
      <c r="B82" s="13" t="s">
        <v>22</v>
      </c>
      <c r="C82" s="14" t="s">
        <v>172</v>
      </c>
      <c r="D82" s="15" t="s">
        <v>168</v>
      </c>
      <c r="E82" s="15" t="s">
        <v>122</v>
      </c>
      <c r="F82" s="16" t="s">
        <v>22</v>
      </c>
      <c r="G82" s="16" t="s">
        <v>26</v>
      </c>
      <c r="H82" s="16" t="s">
        <v>27</v>
      </c>
      <c r="I82" s="16" t="s">
        <v>28</v>
      </c>
      <c r="J82" s="17">
        <v>2060</v>
      </c>
    </row>
    <row r="83" spans="1:10" s="23" customFormat="1" x14ac:dyDescent="0.25">
      <c r="A83"/>
      <c r="B83" s="13" t="s">
        <v>22</v>
      </c>
      <c r="C83" s="14" t="s">
        <v>172</v>
      </c>
      <c r="D83" s="15" t="s">
        <v>168</v>
      </c>
      <c r="E83" s="15" t="s">
        <v>122</v>
      </c>
      <c r="F83" s="16" t="s">
        <v>22</v>
      </c>
      <c r="G83" s="16" t="s">
        <v>107</v>
      </c>
      <c r="H83" s="16" t="s">
        <v>27</v>
      </c>
      <c r="I83" s="16" t="s">
        <v>28</v>
      </c>
      <c r="J83" s="17">
        <v>17025</v>
      </c>
    </row>
    <row r="84" spans="1:10" s="23" customFormat="1" x14ac:dyDescent="0.25">
      <c r="A84"/>
      <c r="B84" s="13" t="s">
        <v>22</v>
      </c>
      <c r="C84" s="14" t="s">
        <v>172</v>
      </c>
      <c r="D84" s="15" t="s">
        <v>168</v>
      </c>
      <c r="E84" s="15" t="s">
        <v>122</v>
      </c>
      <c r="F84" s="16" t="s">
        <v>22</v>
      </c>
      <c r="G84" s="16" t="s">
        <v>106</v>
      </c>
      <c r="H84" s="16" t="s">
        <v>27</v>
      </c>
      <c r="I84" s="16" t="s">
        <v>28</v>
      </c>
      <c r="J84" s="17">
        <v>19315</v>
      </c>
    </row>
    <row r="85" spans="1:10" s="23" customFormat="1" x14ac:dyDescent="0.25">
      <c r="A85"/>
      <c r="B85" s="13" t="s">
        <v>22</v>
      </c>
      <c r="C85" s="14" t="s">
        <v>172</v>
      </c>
      <c r="D85" s="15" t="s">
        <v>168</v>
      </c>
      <c r="E85" s="15" t="s">
        <v>122</v>
      </c>
      <c r="F85" s="16" t="s">
        <v>22</v>
      </c>
      <c r="G85" s="16" t="s">
        <v>108</v>
      </c>
      <c r="H85" s="16" t="s">
        <v>27</v>
      </c>
      <c r="I85" s="16" t="s">
        <v>28</v>
      </c>
      <c r="J85" s="17">
        <v>38331</v>
      </c>
    </row>
    <row r="86" spans="1:10" s="23" customFormat="1" x14ac:dyDescent="0.25">
      <c r="A86"/>
      <c r="B86" s="13" t="s">
        <v>22</v>
      </c>
      <c r="C86" s="14" t="s">
        <v>172</v>
      </c>
      <c r="D86" s="15" t="s">
        <v>168</v>
      </c>
      <c r="E86" s="15" t="s">
        <v>122</v>
      </c>
      <c r="F86" s="16" t="s">
        <v>22</v>
      </c>
      <c r="G86" s="16" t="s">
        <v>29</v>
      </c>
      <c r="H86" s="16" t="s">
        <v>27</v>
      </c>
      <c r="I86" s="16" t="s">
        <v>28</v>
      </c>
      <c r="J86" s="17">
        <v>65134</v>
      </c>
    </row>
    <row r="87" spans="1:10" s="23" customFormat="1" x14ac:dyDescent="0.25">
      <c r="A87"/>
      <c r="B87" s="13" t="s">
        <v>22</v>
      </c>
      <c r="C87" s="14" t="s">
        <v>173</v>
      </c>
      <c r="D87" s="15" t="s">
        <v>174</v>
      </c>
      <c r="E87" s="15" t="s">
        <v>122</v>
      </c>
      <c r="F87" s="16" t="s">
        <v>22</v>
      </c>
      <c r="G87" s="16" t="s">
        <v>29</v>
      </c>
      <c r="H87" s="16" t="s">
        <v>27</v>
      </c>
      <c r="I87" s="16" t="s">
        <v>28</v>
      </c>
      <c r="J87" s="17">
        <v>42100</v>
      </c>
    </row>
    <row r="88" spans="1:10" s="23" customFormat="1" x14ac:dyDescent="0.25">
      <c r="A88"/>
      <c r="B88" s="13" t="s">
        <v>22</v>
      </c>
      <c r="C88" s="14" t="s">
        <v>175</v>
      </c>
      <c r="D88" s="15" t="s">
        <v>174</v>
      </c>
      <c r="E88" s="15" t="s">
        <v>122</v>
      </c>
      <c r="F88" s="16" t="s">
        <v>22</v>
      </c>
      <c r="G88" s="16" t="s">
        <v>26</v>
      </c>
      <c r="H88" s="16" t="s">
        <v>27</v>
      </c>
      <c r="I88" s="16" t="s">
        <v>28</v>
      </c>
      <c r="J88" s="17">
        <v>50912</v>
      </c>
    </row>
    <row r="89" spans="1:10" s="23" customFormat="1" x14ac:dyDescent="0.25">
      <c r="A89"/>
      <c r="B89" s="13" t="s">
        <v>22</v>
      </c>
      <c r="C89" s="14" t="s">
        <v>175</v>
      </c>
      <c r="D89" s="15" t="s">
        <v>174</v>
      </c>
      <c r="E89" s="15" t="s">
        <v>122</v>
      </c>
      <c r="F89" s="16" t="s">
        <v>22</v>
      </c>
      <c r="G89" s="16" t="s">
        <v>30</v>
      </c>
      <c r="H89" s="16" t="s">
        <v>27</v>
      </c>
      <c r="I89" s="16" t="s">
        <v>28</v>
      </c>
      <c r="J89" s="17">
        <v>58559</v>
      </c>
    </row>
    <row r="90" spans="1:10" s="23" customFormat="1" x14ac:dyDescent="0.25">
      <c r="A90"/>
      <c r="B90" s="18" t="s">
        <v>22</v>
      </c>
      <c r="C90" s="19" t="s">
        <v>173</v>
      </c>
      <c r="D90" s="20" t="s">
        <v>174</v>
      </c>
      <c r="E90" s="20" t="s">
        <v>122</v>
      </c>
      <c r="F90" s="21" t="s">
        <v>22</v>
      </c>
      <c r="G90" s="21" t="s">
        <v>35</v>
      </c>
      <c r="H90" s="21" t="s">
        <v>27</v>
      </c>
      <c r="I90" s="21" t="s">
        <v>28</v>
      </c>
      <c r="J90" s="22">
        <v>60714</v>
      </c>
    </row>
    <row r="91" spans="1:10" ht="29.25" x14ac:dyDescent="0.25">
      <c r="A91" s="29"/>
      <c r="B91" s="34" t="s">
        <v>166</v>
      </c>
      <c r="C91" s="14" t="s">
        <v>139</v>
      </c>
      <c r="D91" s="15" t="s">
        <v>176</v>
      </c>
      <c r="E91" s="15" t="s">
        <v>122</v>
      </c>
      <c r="F91" s="16" t="s">
        <v>169</v>
      </c>
      <c r="G91" s="16" t="s">
        <v>170</v>
      </c>
      <c r="H91" s="16" t="s">
        <v>34</v>
      </c>
      <c r="I91" s="16" t="s">
        <v>41</v>
      </c>
      <c r="J91" s="17">
        <f>2962134*30%</f>
        <v>888640.2</v>
      </c>
    </row>
    <row r="92" spans="1:10" s="32" customFormat="1" ht="30" x14ac:dyDescent="0.3">
      <c r="A92" s="31"/>
      <c r="B92" s="13" t="s">
        <v>177</v>
      </c>
      <c r="C92" s="14" t="s">
        <v>178</v>
      </c>
      <c r="D92" s="15" t="s">
        <v>179</v>
      </c>
      <c r="E92" s="15" t="s">
        <v>122</v>
      </c>
      <c r="F92" s="16" t="s">
        <v>51</v>
      </c>
      <c r="G92" s="16" t="s">
        <v>180</v>
      </c>
      <c r="H92" s="16" t="s">
        <v>19</v>
      </c>
      <c r="I92" s="16" t="s">
        <v>41</v>
      </c>
      <c r="J92" s="17">
        <v>1133378</v>
      </c>
    </row>
    <row r="93" spans="1:10" s="32" customFormat="1" ht="16.5" x14ac:dyDescent="0.3">
      <c r="A93" s="31"/>
      <c r="B93" s="13" t="s">
        <v>22</v>
      </c>
      <c r="C93" s="14" t="s">
        <v>178</v>
      </c>
      <c r="D93" s="15" t="s">
        <v>179</v>
      </c>
      <c r="E93" s="15" t="s">
        <v>122</v>
      </c>
      <c r="F93" s="16" t="s">
        <v>22</v>
      </c>
      <c r="G93" s="16" t="s">
        <v>107</v>
      </c>
      <c r="H93" s="16" t="s">
        <v>27</v>
      </c>
      <c r="I93" s="16" t="s">
        <v>28</v>
      </c>
      <c r="J93" s="17">
        <v>101728</v>
      </c>
    </row>
    <row r="94" spans="1:10" s="32" customFormat="1" ht="16.5" x14ac:dyDescent="0.3">
      <c r="A94" s="31"/>
      <c r="B94" s="13" t="s">
        <v>22</v>
      </c>
      <c r="C94" s="14" t="s">
        <v>178</v>
      </c>
      <c r="D94" s="15" t="s">
        <v>179</v>
      </c>
      <c r="E94" s="15" t="s">
        <v>122</v>
      </c>
      <c r="F94" s="16" t="s">
        <v>22</v>
      </c>
      <c r="G94" s="16" t="s">
        <v>108</v>
      </c>
      <c r="H94" s="16" t="s">
        <v>27</v>
      </c>
      <c r="I94" s="16" t="s">
        <v>28</v>
      </c>
      <c r="J94" s="17">
        <v>105174</v>
      </c>
    </row>
    <row r="95" spans="1:10" s="32" customFormat="1" ht="16.5" x14ac:dyDescent="0.3">
      <c r="A95" s="31"/>
      <c r="B95" s="13" t="s">
        <v>22</v>
      </c>
      <c r="C95" s="14" t="s">
        <v>178</v>
      </c>
      <c r="D95" s="15" t="s">
        <v>179</v>
      </c>
      <c r="E95" s="15" t="s">
        <v>122</v>
      </c>
      <c r="F95" s="16" t="s">
        <v>22</v>
      </c>
      <c r="G95" s="16" t="s">
        <v>106</v>
      </c>
      <c r="H95" s="16" t="s">
        <v>27</v>
      </c>
      <c r="I95" s="16" t="s">
        <v>28</v>
      </c>
      <c r="J95" s="17">
        <v>114316</v>
      </c>
    </row>
    <row r="96" spans="1:10" s="32" customFormat="1" ht="16.5" x14ac:dyDescent="0.3">
      <c r="A96" s="31"/>
      <c r="B96" s="18" t="s">
        <v>22</v>
      </c>
      <c r="C96" s="19" t="s">
        <v>178</v>
      </c>
      <c r="D96" s="20" t="s">
        <v>179</v>
      </c>
      <c r="E96" s="20" t="s">
        <v>122</v>
      </c>
      <c r="F96" s="21" t="s">
        <v>22</v>
      </c>
      <c r="G96" s="21" t="s">
        <v>35</v>
      </c>
      <c r="H96" s="21" t="s">
        <v>27</v>
      </c>
      <c r="I96" s="21" t="s">
        <v>28</v>
      </c>
      <c r="J96" s="22">
        <v>111549</v>
      </c>
    </row>
    <row r="97" spans="1:10" s="23" customFormat="1" x14ac:dyDescent="0.25">
      <c r="A97"/>
      <c r="B97" s="6" t="s">
        <v>181</v>
      </c>
      <c r="C97" s="6"/>
      <c r="D97" s="6"/>
      <c r="E97" s="6"/>
      <c r="F97" s="6"/>
      <c r="G97" s="6"/>
      <c r="H97" s="7" t="s">
        <v>3</v>
      </c>
      <c r="I97" s="7"/>
      <c r="J97" s="8">
        <f>SUM(J100:J150)</f>
        <v>4439273.9700000007</v>
      </c>
    </row>
    <row r="98" spans="1:10" s="23" customFormat="1" x14ac:dyDescent="0.25">
      <c r="A98"/>
      <c r="B98" s="6"/>
      <c r="C98" s="6"/>
      <c r="D98" s="6"/>
      <c r="E98" s="6"/>
      <c r="F98" s="6"/>
      <c r="G98" s="6"/>
      <c r="H98" s="7"/>
      <c r="I98" s="7"/>
      <c r="J98" s="9"/>
    </row>
    <row r="99" spans="1:10" s="23" customFormat="1" ht="29.25" x14ac:dyDescent="0.25">
      <c r="A99"/>
      <c r="B99" s="10" t="s">
        <v>4</v>
      </c>
      <c r="C99" s="10" t="s">
        <v>5</v>
      </c>
      <c r="D99" s="10" t="s">
        <v>6</v>
      </c>
      <c r="E99" s="10" t="s">
        <v>7</v>
      </c>
      <c r="F99" s="10" t="s">
        <v>8</v>
      </c>
      <c r="G99" s="10" t="s">
        <v>9</v>
      </c>
      <c r="H99" s="10" t="s">
        <v>10</v>
      </c>
      <c r="I99" s="10" t="s">
        <v>11</v>
      </c>
      <c r="J99" s="11" t="s">
        <v>12</v>
      </c>
    </row>
    <row r="100" spans="1:10" s="23" customFormat="1" ht="43.5" x14ac:dyDescent="0.25">
      <c r="A100"/>
      <c r="B100" s="13" t="s">
        <v>182</v>
      </c>
      <c r="C100" s="14" t="s">
        <v>183</v>
      </c>
      <c r="D100" s="15" t="s">
        <v>184</v>
      </c>
      <c r="E100" s="15" t="s">
        <v>185</v>
      </c>
      <c r="F100" s="16" t="s">
        <v>186</v>
      </c>
      <c r="G100" s="16" t="s">
        <v>187</v>
      </c>
      <c r="H100" s="16" t="s">
        <v>88</v>
      </c>
      <c r="I100" s="16" t="s">
        <v>101</v>
      </c>
      <c r="J100" s="17">
        <v>2000</v>
      </c>
    </row>
    <row r="101" spans="1:10" s="23" customFormat="1" ht="43.5" x14ac:dyDescent="0.25">
      <c r="A101"/>
      <c r="B101" s="13" t="s">
        <v>188</v>
      </c>
      <c r="C101" s="14" t="s">
        <v>183</v>
      </c>
      <c r="D101" s="15" t="s">
        <v>184</v>
      </c>
      <c r="E101" s="15" t="s">
        <v>185</v>
      </c>
      <c r="F101" s="16" t="s">
        <v>186</v>
      </c>
      <c r="G101" s="16" t="s">
        <v>189</v>
      </c>
      <c r="H101" s="16" t="s">
        <v>88</v>
      </c>
      <c r="I101" s="16" t="s">
        <v>101</v>
      </c>
      <c r="J101" s="17">
        <v>2000</v>
      </c>
    </row>
    <row r="102" spans="1:10" s="23" customFormat="1" x14ac:dyDescent="0.25">
      <c r="A102"/>
      <c r="B102" s="13" t="s">
        <v>190</v>
      </c>
      <c r="C102" s="14" t="s">
        <v>191</v>
      </c>
      <c r="D102" s="15" t="s">
        <v>184</v>
      </c>
      <c r="E102" s="15" t="s">
        <v>185</v>
      </c>
      <c r="F102" s="16" t="s">
        <v>192</v>
      </c>
      <c r="G102" s="16" t="s">
        <v>193</v>
      </c>
      <c r="H102" s="16" t="s">
        <v>34</v>
      </c>
      <c r="I102" s="16" t="s">
        <v>101</v>
      </c>
      <c r="J102" s="17">
        <f>300549*20%</f>
        <v>60109.8</v>
      </c>
    </row>
    <row r="103" spans="1:10" s="23" customFormat="1" ht="43.5" x14ac:dyDescent="0.25">
      <c r="A103"/>
      <c r="B103" s="13" t="s">
        <v>194</v>
      </c>
      <c r="C103" s="14" t="s">
        <v>195</v>
      </c>
      <c r="D103" s="15" t="s">
        <v>184</v>
      </c>
      <c r="E103" s="15" t="s">
        <v>185</v>
      </c>
      <c r="F103" s="16" t="s">
        <v>114</v>
      </c>
      <c r="G103" s="16" t="s">
        <v>196</v>
      </c>
      <c r="H103" s="16" t="s">
        <v>34</v>
      </c>
      <c r="I103" s="16" t="s">
        <v>116</v>
      </c>
      <c r="J103" s="17">
        <f>413434*25%</f>
        <v>103358.5</v>
      </c>
    </row>
    <row r="104" spans="1:10" s="23" customFormat="1" ht="43.5" x14ac:dyDescent="0.25">
      <c r="A104"/>
      <c r="B104" s="13" t="s">
        <v>194</v>
      </c>
      <c r="C104" s="14" t="s">
        <v>197</v>
      </c>
      <c r="D104" s="15" t="s">
        <v>184</v>
      </c>
      <c r="E104" s="15" t="s">
        <v>185</v>
      </c>
      <c r="F104" s="16" t="s">
        <v>114</v>
      </c>
      <c r="G104" s="16" t="s">
        <v>196</v>
      </c>
      <c r="H104" s="16" t="s">
        <v>34</v>
      </c>
      <c r="I104" s="16" t="s">
        <v>116</v>
      </c>
      <c r="J104" s="17">
        <f>413434*25%</f>
        <v>103358.5</v>
      </c>
    </row>
    <row r="105" spans="1:10" s="23" customFormat="1" x14ac:dyDescent="0.25">
      <c r="A105"/>
      <c r="B105" s="13" t="s">
        <v>190</v>
      </c>
      <c r="C105" s="14" t="s">
        <v>197</v>
      </c>
      <c r="D105" s="15" t="s">
        <v>184</v>
      </c>
      <c r="E105" s="15" t="s">
        <v>185</v>
      </c>
      <c r="F105" s="16" t="s">
        <v>192</v>
      </c>
      <c r="G105" s="16" t="s">
        <v>193</v>
      </c>
      <c r="H105" s="16" t="s">
        <v>34</v>
      </c>
      <c r="I105" s="16" t="s">
        <v>101</v>
      </c>
      <c r="J105" s="17">
        <f>300549*40%</f>
        <v>120219.6</v>
      </c>
    </row>
    <row r="106" spans="1:10" s="23" customFormat="1" ht="29.25" x14ac:dyDescent="0.25">
      <c r="A106"/>
      <c r="B106" s="13" t="s">
        <v>198</v>
      </c>
      <c r="C106" s="14" t="s">
        <v>199</v>
      </c>
      <c r="D106" s="15" t="s">
        <v>184</v>
      </c>
      <c r="E106" s="15" t="s">
        <v>185</v>
      </c>
      <c r="F106" s="16" t="s">
        <v>114</v>
      </c>
      <c r="G106" s="16" t="s">
        <v>200</v>
      </c>
      <c r="H106" s="16" t="s">
        <v>34</v>
      </c>
      <c r="I106" s="16" t="s">
        <v>101</v>
      </c>
      <c r="J106" s="17">
        <f>448478*34%</f>
        <v>152482.52000000002</v>
      </c>
    </row>
    <row r="107" spans="1:10" s="23" customFormat="1" ht="29.25" x14ac:dyDescent="0.25">
      <c r="A107"/>
      <c r="B107" s="13" t="s">
        <v>201</v>
      </c>
      <c r="C107" s="14" t="s">
        <v>202</v>
      </c>
      <c r="D107" s="15" t="s">
        <v>184</v>
      </c>
      <c r="E107" s="15" t="s">
        <v>185</v>
      </c>
      <c r="F107" s="16" t="s">
        <v>192</v>
      </c>
      <c r="G107" s="16" t="s">
        <v>203</v>
      </c>
      <c r="H107" s="16" t="s">
        <v>34</v>
      </c>
      <c r="I107" s="16" t="s">
        <v>101</v>
      </c>
      <c r="J107" s="17">
        <f>370782*50%</f>
        <v>185391</v>
      </c>
    </row>
    <row r="108" spans="1:10" s="23" customFormat="1" ht="29.25" x14ac:dyDescent="0.25">
      <c r="A108"/>
      <c r="B108" s="13" t="s">
        <v>201</v>
      </c>
      <c r="C108" s="14" t="s">
        <v>204</v>
      </c>
      <c r="D108" s="15" t="s">
        <v>184</v>
      </c>
      <c r="E108" s="15" t="s">
        <v>185</v>
      </c>
      <c r="F108" s="16" t="s">
        <v>192</v>
      </c>
      <c r="G108" s="16" t="s">
        <v>203</v>
      </c>
      <c r="H108" s="16" t="s">
        <v>34</v>
      </c>
      <c r="I108" s="16" t="s">
        <v>101</v>
      </c>
      <c r="J108" s="17">
        <f>370782*50%</f>
        <v>185391</v>
      </c>
    </row>
    <row r="109" spans="1:10" s="23" customFormat="1" ht="29.25" x14ac:dyDescent="0.25">
      <c r="A109"/>
      <c r="B109" s="13" t="s">
        <v>205</v>
      </c>
      <c r="C109" s="14" t="s">
        <v>206</v>
      </c>
      <c r="D109" s="15" t="s">
        <v>207</v>
      </c>
      <c r="E109" s="15" t="s">
        <v>185</v>
      </c>
      <c r="F109" s="16" t="s">
        <v>123</v>
      </c>
      <c r="G109" s="16" t="s">
        <v>208</v>
      </c>
      <c r="H109" s="16" t="s">
        <v>19</v>
      </c>
      <c r="I109" s="16" t="s">
        <v>28</v>
      </c>
      <c r="J109" s="17">
        <f>24120*10%</f>
        <v>2412</v>
      </c>
    </row>
    <row r="110" spans="1:10" s="23" customFormat="1" ht="29.25" x14ac:dyDescent="0.25">
      <c r="A110"/>
      <c r="B110" s="13" t="s">
        <v>209</v>
      </c>
      <c r="C110" s="14" t="s">
        <v>206</v>
      </c>
      <c r="D110" s="15" t="s">
        <v>207</v>
      </c>
      <c r="E110" s="15" t="s">
        <v>185</v>
      </c>
      <c r="F110" s="16" t="s">
        <v>123</v>
      </c>
      <c r="G110" s="16" t="s">
        <v>208</v>
      </c>
      <c r="H110" s="16" t="s">
        <v>19</v>
      </c>
      <c r="I110" s="16" t="s">
        <v>28</v>
      </c>
      <c r="J110" s="17">
        <f>129584*10%</f>
        <v>12958.400000000001</v>
      </c>
    </row>
    <row r="111" spans="1:10" s="23" customFormat="1" ht="29.25" x14ac:dyDescent="0.25">
      <c r="A111"/>
      <c r="B111" s="13" t="s">
        <v>205</v>
      </c>
      <c r="C111" s="14" t="s">
        <v>210</v>
      </c>
      <c r="D111" s="15" t="s">
        <v>207</v>
      </c>
      <c r="E111" s="15" t="s">
        <v>185</v>
      </c>
      <c r="F111" s="16" t="s">
        <v>123</v>
      </c>
      <c r="G111" s="16" t="s">
        <v>208</v>
      </c>
      <c r="H111" s="16" t="s">
        <v>19</v>
      </c>
      <c r="I111" s="16" t="s">
        <v>28</v>
      </c>
      <c r="J111" s="17">
        <f>24120*90%</f>
        <v>21708</v>
      </c>
    </row>
    <row r="112" spans="1:10" s="23" customFormat="1" ht="29.25" x14ac:dyDescent="0.25">
      <c r="A112"/>
      <c r="B112" s="13" t="s">
        <v>209</v>
      </c>
      <c r="C112" s="14" t="s">
        <v>211</v>
      </c>
      <c r="D112" s="15" t="s">
        <v>207</v>
      </c>
      <c r="E112" s="15" t="s">
        <v>185</v>
      </c>
      <c r="F112" s="16" t="s">
        <v>123</v>
      </c>
      <c r="G112" s="16" t="s">
        <v>208</v>
      </c>
      <c r="H112" s="16" t="s">
        <v>19</v>
      </c>
      <c r="I112" s="16" t="s">
        <v>28</v>
      </c>
      <c r="J112" s="17">
        <f>129584*90%</f>
        <v>116625.60000000001</v>
      </c>
    </row>
    <row r="113" spans="1:10" ht="29.25" x14ac:dyDescent="0.25">
      <c r="B113" s="35">
        <v>12075</v>
      </c>
      <c r="C113" s="14" t="s">
        <v>212</v>
      </c>
      <c r="D113" s="36" t="s">
        <v>207</v>
      </c>
      <c r="E113" s="36" t="s">
        <v>185</v>
      </c>
      <c r="F113" s="16" t="s">
        <v>213</v>
      </c>
      <c r="G113" s="16" t="s">
        <v>214</v>
      </c>
      <c r="H113" s="16" t="s">
        <v>34</v>
      </c>
      <c r="I113" s="16" t="s">
        <v>101</v>
      </c>
      <c r="J113" s="17">
        <v>231329</v>
      </c>
    </row>
    <row r="114" spans="1:10" ht="29.25" x14ac:dyDescent="0.25">
      <c r="B114" s="13" t="s">
        <v>215</v>
      </c>
      <c r="C114" s="14" t="s">
        <v>216</v>
      </c>
      <c r="D114" s="15" t="s">
        <v>207</v>
      </c>
      <c r="E114" s="15" t="s">
        <v>185</v>
      </c>
      <c r="F114" s="16" t="s">
        <v>217</v>
      </c>
      <c r="G114" s="16" t="s">
        <v>218</v>
      </c>
      <c r="H114" s="16" t="s">
        <v>34</v>
      </c>
      <c r="I114" s="16" t="s">
        <v>41</v>
      </c>
      <c r="J114" s="17">
        <v>601166</v>
      </c>
    </row>
    <row r="115" spans="1:10" x14ac:dyDescent="0.25">
      <c r="B115" s="13" t="s">
        <v>22</v>
      </c>
      <c r="C115" s="14" t="s">
        <v>219</v>
      </c>
      <c r="D115" s="15" t="s">
        <v>207</v>
      </c>
      <c r="E115" s="15" t="s">
        <v>185</v>
      </c>
      <c r="F115" s="16" t="s">
        <v>22</v>
      </c>
      <c r="G115" s="16" t="s">
        <v>30</v>
      </c>
      <c r="H115" s="16" t="s">
        <v>27</v>
      </c>
      <c r="I115" s="16" t="s">
        <v>28</v>
      </c>
      <c r="J115" s="17">
        <v>23754</v>
      </c>
    </row>
    <row r="116" spans="1:10" s="23" customFormat="1" x14ac:dyDescent="0.25">
      <c r="A116"/>
      <c r="B116" s="13" t="s">
        <v>22</v>
      </c>
      <c r="C116" s="14" t="s">
        <v>219</v>
      </c>
      <c r="D116" s="15" t="s">
        <v>207</v>
      </c>
      <c r="E116" s="15" t="s">
        <v>185</v>
      </c>
      <c r="F116" s="16" t="s">
        <v>22</v>
      </c>
      <c r="G116" s="16" t="s">
        <v>29</v>
      </c>
      <c r="H116" s="16" t="s">
        <v>27</v>
      </c>
      <c r="I116" s="16" t="s">
        <v>28</v>
      </c>
      <c r="J116" s="17">
        <v>46326</v>
      </c>
    </row>
    <row r="117" spans="1:10" s="23" customFormat="1" x14ac:dyDescent="0.25">
      <c r="A117"/>
      <c r="B117" s="13" t="s">
        <v>22</v>
      </c>
      <c r="C117" s="14" t="s">
        <v>219</v>
      </c>
      <c r="D117" s="15" t="s">
        <v>207</v>
      </c>
      <c r="E117" s="15" t="s">
        <v>185</v>
      </c>
      <c r="F117" s="16" t="s">
        <v>22</v>
      </c>
      <c r="G117" s="16" t="s">
        <v>26</v>
      </c>
      <c r="H117" s="16" t="s">
        <v>27</v>
      </c>
      <c r="I117" s="16" t="s">
        <v>28</v>
      </c>
      <c r="J117" s="17">
        <v>82103</v>
      </c>
    </row>
    <row r="118" spans="1:10" ht="29.25" x14ac:dyDescent="0.25">
      <c r="B118" s="24" t="s">
        <v>220</v>
      </c>
      <c r="C118" s="25" t="s">
        <v>206</v>
      </c>
      <c r="D118" s="25" t="s">
        <v>207</v>
      </c>
      <c r="E118" s="26" t="s">
        <v>185</v>
      </c>
      <c r="F118" s="28" t="s">
        <v>123</v>
      </c>
      <c r="G118" s="28" t="s">
        <v>221</v>
      </c>
      <c r="H118" s="27" t="s">
        <v>19</v>
      </c>
      <c r="I118" s="27" t="s">
        <v>28</v>
      </c>
      <c r="J118" s="17">
        <v>4593</v>
      </c>
    </row>
    <row r="119" spans="1:10" ht="29.25" x14ac:dyDescent="0.25">
      <c r="B119" s="24" t="s">
        <v>220</v>
      </c>
      <c r="C119" s="25" t="s">
        <v>211</v>
      </c>
      <c r="D119" s="25" t="s">
        <v>207</v>
      </c>
      <c r="E119" s="26" t="s">
        <v>185</v>
      </c>
      <c r="F119" s="28" t="s">
        <v>123</v>
      </c>
      <c r="G119" s="28" t="s">
        <v>221</v>
      </c>
      <c r="H119" s="27" t="s">
        <v>19</v>
      </c>
      <c r="I119" s="27" t="s">
        <v>28</v>
      </c>
      <c r="J119" s="17">
        <v>41334</v>
      </c>
    </row>
    <row r="120" spans="1:10" ht="29.25" x14ac:dyDescent="0.25">
      <c r="B120" s="24" t="s">
        <v>222</v>
      </c>
      <c r="C120" s="25" t="s">
        <v>223</v>
      </c>
      <c r="D120" s="25" t="s">
        <v>207</v>
      </c>
      <c r="E120" s="26" t="s">
        <v>185</v>
      </c>
      <c r="F120" s="28" t="s">
        <v>51</v>
      </c>
      <c r="G120" s="28" t="s">
        <v>224</v>
      </c>
      <c r="H120" s="27" t="s">
        <v>19</v>
      </c>
      <c r="I120" s="27" t="s">
        <v>28</v>
      </c>
      <c r="J120" s="17">
        <v>11347</v>
      </c>
    </row>
    <row r="121" spans="1:10" s="23" customFormat="1" ht="29.25" x14ac:dyDescent="0.25">
      <c r="A121"/>
      <c r="B121" s="24" t="s">
        <v>222</v>
      </c>
      <c r="C121" s="25" t="s">
        <v>219</v>
      </c>
      <c r="D121" s="25" t="s">
        <v>207</v>
      </c>
      <c r="E121" s="26" t="s">
        <v>185</v>
      </c>
      <c r="F121" s="28" t="s">
        <v>51</v>
      </c>
      <c r="G121" s="28" t="s">
        <v>224</v>
      </c>
      <c r="H121" s="27" t="s">
        <v>19</v>
      </c>
      <c r="I121" s="27" t="s">
        <v>28</v>
      </c>
      <c r="J121" s="17">
        <v>11347</v>
      </c>
    </row>
    <row r="122" spans="1:10" s="23" customFormat="1" ht="29.25" x14ac:dyDescent="0.25">
      <c r="A122"/>
      <c r="B122" s="33" t="s">
        <v>225</v>
      </c>
      <c r="C122" s="19" t="s">
        <v>226</v>
      </c>
      <c r="D122" s="21" t="s">
        <v>207</v>
      </c>
      <c r="E122" s="21" t="s">
        <v>185</v>
      </c>
      <c r="F122" s="21" t="s">
        <v>51</v>
      </c>
      <c r="G122" s="21" t="s">
        <v>227</v>
      </c>
      <c r="H122" s="21" t="s">
        <v>19</v>
      </c>
      <c r="I122" s="21" t="s">
        <v>41</v>
      </c>
      <c r="J122" s="22">
        <v>23605.52</v>
      </c>
    </row>
    <row r="123" spans="1:10" s="23" customFormat="1" x14ac:dyDescent="0.25">
      <c r="A123"/>
      <c r="B123" s="18" t="s">
        <v>22</v>
      </c>
      <c r="C123" s="19" t="s">
        <v>228</v>
      </c>
      <c r="D123" s="20" t="s">
        <v>229</v>
      </c>
      <c r="E123" s="20" t="s">
        <v>185</v>
      </c>
      <c r="F123" s="21" t="s">
        <v>22</v>
      </c>
      <c r="G123" s="21" t="s">
        <v>35</v>
      </c>
      <c r="H123" s="21" t="s">
        <v>27</v>
      </c>
      <c r="I123" s="21" t="s">
        <v>28</v>
      </c>
      <c r="J123" s="22">
        <v>17913</v>
      </c>
    </row>
    <row r="124" spans="1:10" s="23" customFormat="1" ht="29.25" x14ac:dyDescent="0.25">
      <c r="A124"/>
      <c r="B124" s="13" t="s">
        <v>230</v>
      </c>
      <c r="C124" s="14" t="s">
        <v>231</v>
      </c>
      <c r="D124" s="15" t="s">
        <v>232</v>
      </c>
      <c r="E124" s="15" t="s">
        <v>185</v>
      </c>
      <c r="F124" s="16" t="s">
        <v>81</v>
      </c>
      <c r="G124" s="16" t="s">
        <v>233</v>
      </c>
      <c r="H124" s="16" t="s">
        <v>19</v>
      </c>
      <c r="I124" s="16" t="s">
        <v>41</v>
      </c>
      <c r="J124" s="17">
        <v>147012</v>
      </c>
    </row>
    <row r="125" spans="1:10" s="23" customFormat="1" ht="43.5" x14ac:dyDescent="0.25">
      <c r="A125"/>
      <c r="B125" s="13" t="s">
        <v>234</v>
      </c>
      <c r="C125" s="14" t="s">
        <v>231</v>
      </c>
      <c r="D125" s="15" t="s">
        <v>232</v>
      </c>
      <c r="E125" s="15" t="s">
        <v>185</v>
      </c>
      <c r="F125" s="16" t="s">
        <v>235</v>
      </c>
      <c r="G125" s="16" t="s">
        <v>236</v>
      </c>
      <c r="H125" s="16" t="s">
        <v>34</v>
      </c>
      <c r="I125" s="16" t="s">
        <v>41</v>
      </c>
      <c r="J125" s="17">
        <v>402139.6</v>
      </c>
    </row>
    <row r="126" spans="1:10" x14ac:dyDescent="0.25">
      <c r="B126" s="13" t="s">
        <v>237</v>
      </c>
      <c r="C126" s="14" t="s">
        <v>238</v>
      </c>
      <c r="D126" s="15" t="s">
        <v>239</v>
      </c>
      <c r="E126" s="15" t="s">
        <v>185</v>
      </c>
      <c r="F126" s="16" t="s">
        <v>240</v>
      </c>
      <c r="G126" s="16" t="s">
        <v>241</v>
      </c>
      <c r="H126" s="16" t="s">
        <v>73</v>
      </c>
      <c r="I126" s="16" t="s">
        <v>41</v>
      </c>
      <c r="J126" s="17">
        <f>228229*25%</f>
        <v>57057.25</v>
      </c>
    </row>
    <row r="127" spans="1:10" x14ac:dyDescent="0.25">
      <c r="B127" s="13" t="s">
        <v>237</v>
      </c>
      <c r="C127" s="14" t="s">
        <v>242</v>
      </c>
      <c r="D127" s="15" t="s">
        <v>239</v>
      </c>
      <c r="E127" s="15" t="s">
        <v>185</v>
      </c>
      <c r="F127" s="16" t="s">
        <v>240</v>
      </c>
      <c r="G127" s="16" t="s">
        <v>241</v>
      </c>
      <c r="H127" s="16" t="s">
        <v>73</v>
      </c>
      <c r="I127" s="16" t="s">
        <v>41</v>
      </c>
      <c r="J127" s="17">
        <f>228229*25%</f>
        <v>57057.25</v>
      </c>
    </row>
    <row r="128" spans="1:10" x14ac:dyDescent="0.25">
      <c r="B128" s="13" t="s">
        <v>237</v>
      </c>
      <c r="C128" s="14" t="s">
        <v>243</v>
      </c>
      <c r="D128" s="15" t="s">
        <v>239</v>
      </c>
      <c r="E128" s="15" t="s">
        <v>185</v>
      </c>
      <c r="F128" s="16" t="s">
        <v>240</v>
      </c>
      <c r="G128" s="16" t="s">
        <v>241</v>
      </c>
      <c r="H128" s="16" t="s">
        <v>73</v>
      </c>
      <c r="I128" s="16" t="s">
        <v>41</v>
      </c>
      <c r="J128" s="17">
        <f>228229*25%</f>
        <v>57057.25</v>
      </c>
    </row>
    <row r="129" spans="1:10" x14ac:dyDescent="0.25">
      <c r="B129" s="13" t="s">
        <v>237</v>
      </c>
      <c r="C129" s="14" t="s">
        <v>244</v>
      </c>
      <c r="D129" s="15" t="s">
        <v>239</v>
      </c>
      <c r="E129" s="15" t="s">
        <v>185</v>
      </c>
      <c r="F129" s="16" t="s">
        <v>240</v>
      </c>
      <c r="G129" s="16" t="s">
        <v>241</v>
      </c>
      <c r="H129" s="16" t="s">
        <v>73</v>
      </c>
      <c r="I129" s="16" t="s">
        <v>41</v>
      </c>
      <c r="J129" s="17">
        <f>228229*25%</f>
        <v>57057.25</v>
      </c>
    </row>
    <row r="130" spans="1:10" x14ac:dyDescent="0.25">
      <c r="B130" s="13" t="s">
        <v>245</v>
      </c>
      <c r="C130" s="14" t="s">
        <v>246</v>
      </c>
      <c r="D130" s="15" t="s">
        <v>247</v>
      </c>
      <c r="E130" s="15" t="s">
        <v>185</v>
      </c>
      <c r="F130" s="16" t="s">
        <v>240</v>
      </c>
      <c r="G130" s="16" t="s">
        <v>248</v>
      </c>
      <c r="H130" s="16" t="s">
        <v>73</v>
      </c>
      <c r="I130" s="16" t="s">
        <v>28</v>
      </c>
      <c r="J130" s="17">
        <f>2350.12*10%</f>
        <v>235.012</v>
      </c>
    </row>
    <row r="131" spans="1:10" x14ac:dyDescent="0.25">
      <c r="B131" s="13" t="s">
        <v>245</v>
      </c>
      <c r="C131" s="14" t="s">
        <v>249</v>
      </c>
      <c r="D131" s="15" t="s">
        <v>247</v>
      </c>
      <c r="E131" s="15" t="s">
        <v>185</v>
      </c>
      <c r="F131" s="16" t="s">
        <v>240</v>
      </c>
      <c r="G131" s="16" t="s">
        <v>248</v>
      </c>
      <c r="H131" s="16" t="s">
        <v>73</v>
      </c>
      <c r="I131" s="16" t="s">
        <v>28</v>
      </c>
      <c r="J131" s="17">
        <f>2350.12*90%</f>
        <v>2115.1080000000002</v>
      </c>
    </row>
    <row r="132" spans="1:10" ht="29.25" x14ac:dyDescent="0.25">
      <c r="B132" s="13" t="s">
        <v>250</v>
      </c>
      <c r="C132" s="14" t="s">
        <v>246</v>
      </c>
      <c r="D132" s="15" t="s">
        <v>247</v>
      </c>
      <c r="E132" s="15" t="s">
        <v>185</v>
      </c>
      <c r="F132" s="16" t="s">
        <v>123</v>
      </c>
      <c r="G132" s="16" t="s">
        <v>251</v>
      </c>
      <c r="H132" s="16" t="s">
        <v>19</v>
      </c>
      <c r="I132" s="16" t="s">
        <v>41</v>
      </c>
      <c r="J132" s="17">
        <f>145451*60%</f>
        <v>87270.599999999991</v>
      </c>
    </row>
    <row r="133" spans="1:10" ht="29.25" x14ac:dyDescent="0.25">
      <c r="B133" s="13" t="s">
        <v>252</v>
      </c>
      <c r="C133" s="14" t="s">
        <v>253</v>
      </c>
      <c r="D133" s="15" t="s">
        <v>247</v>
      </c>
      <c r="E133" s="15" t="s">
        <v>185</v>
      </c>
      <c r="F133" s="16" t="s">
        <v>254</v>
      </c>
      <c r="G133" s="16" t="s">
        <v>255</v>
      </c>
      <c r="H133" s="16" t="s">
        <v>34</v>
      </c>
      <c r="I133" s="16" t="s">
        <v>101</v>
      </c>
      <c r="J133" s="17">
        <v>281225.31</v>
      </c>
    </row>
    <row r="134" spans="1:10" x14ac:dyDescent="0.25">
      <c r="B134" s="18" t="s">
        <v>22</v>
      </c>
      <c r="C134" s="19" t="s">
        <v>256</v>
      </c>
      <c r="D134" s="20" t="s">
        <v>257</v>
      </c>
      <c r="E134" s="20" t="s">
        <v>185</v>
      </c>
      <c r="F134" s="21" t="s">
        <v>22</v>
      </c>
      <c r="G134" s="21" t="s">
        <v>35</v>
      </c>
      <c r="H134" s="21" t="s">
        <v>27</v>
      </c>
      <c r="I134" s="21" t="s">
        <v>28</v>
      </c>
      <c r="J134" s="22">
        <v>3100</v>
      </c>
    </row>
    <row r="135" spans="1:10" x14ac:dyDescent="0.25">
      <c r="B135" s="13" t="s">
        <v>22</v>
      </c>
      <c r="C135" s="14" t="s">
        <v>256</v>
      </c>
      <c r="D135" s="15" t="s">
        <v>258</v>
      </c>
      <c r="E135" s="15" t="s">
        <v>185</v>
      </c>
      <c r="F135" s="16" t="s">
        <v>22</v>
      </c>
      <c r="G135" s="16" t="s">
        <v>26</v>
      </c>
      <c r="H135" s="16" t="s">
        <v>27</v>
      </c>
      <c r="I135" s="16" t="s">
        <v>28</v>
      </c>
      <c r="J135" s="17">
        <v>2250</v>
      </c>
    </row>
    <row r="136" spans="1:10" x14ac:dyDescent="0.25">
      <c r="B136" s="13" t="s">
        <v>22</v>
      </c>
      <c r="C136" s="14" t="s">
        <v>256</v>
      </c>
      <c r="D136" s="15" t="s">
        <v>258</v>
      </c>
      <c r="E136" s="15" t="s">
        <v>185</v>
      </c>
      <c r="F136" s="16" t="s">
        <v>22</v>
      </c>
      <c r="G136" s="16" t="s">
        <v>29</v>
      </c>
      <c r="H136" s="16" t="s">
        <v>27</v>
      </c>
      <c r="I136" s="16" t="s">
        <v>28</v>
      </c>
      <c r="J136" s="17">
        <v>51270</v>
      </c>
    </row>
    <row r="137" spans="1:10" x14ac:dyDescent="0.25">
      <c r="B137" s="13" t="s">
        <v>22</v>
      </c>
      <c r="C137" s="14" t="s">
        <v>256</v>
      </c>
      <c r="D137" s="15" t="s">
        <v>258</v>
      </c>
      <c r="E137" s="15" t="s">
        <v>185</v>
      </c>
      <c r="F137" s="16" t="s">
        <v>22</v>
      </c>
      <c r="G137" s="16" t="s">
        <v>30</v>
      </c>
      <c r="H137" s="16" t="s">
        <v>27</v>
      </c>
      <c r="I137" s="16" t="s">
        <v>28</v>
      </c>
      <c r="J137" s="17">
        <v>55490</v>
      </c>
    </row>
    <row r="138" spans="1:10" x14ac:dyDescent="0.25">
      <c r="B138" s="18" t="s">
        <v>22</v>
      </c>
      <c r="C138" s="19" t="s">
        <v>219</v>
      </c>
      <c r="D138" s="20" t="s">
        <v>259</v>
      </c>
      <c r="E138" s="20" t="s">
        <v>185</v>
      </c>
      <c r="F138" s="21" t="s">
        <v>22</v>
      </c>
      <c r="G138" s="21" t="s">
        <v>35</v>
      </c>
      <c r="H138" s="21" t="s">
        <v>27</v>
      </c>
      <c r="I138" s="21" t="s">
        <v>28</v>
      </c>
      <c r="J138" s="22">
        <v>76445.5</v>
      </c>
    </row>
    <row r="139" spans="1:10" x14ac:dyDescent="0.25">
      <c r="B139" s="13" t="s">
        <v>22</v>
      </c>
      <c r="C139" s="14" t="s">
        <v>228</v>
      </c>
      <c r="D139" s="15" t="s">
        <v>260</v>
      </c>
      <c r="E139" s="15" t="s">
        <v>185</v>
      </c>
      <c r="F139" s="16" t="s">
        <v>22</v>
      </c>
      <c r="G139" s="16" t="s">
        <v>26</v>
      </c>
      <c r="H139" s="16" t="s">
        <v>27</v>
      </c>
      <c r="I139" s="16" t="s">
        <v>28</v>
      </c>
      <c r="J139" s="17">
        <v>11222</v>
      </c>
    </row>
    <row r="140" spans="1:10" x14ac:dyDescent="0.25">
      <c r="A140" s="29"/>
      <c r="B140" s="34" t="s">
        <v>22</v>
      </c>
      <c r="C140" s="14" t="s">
        <v>228</v>
      </c>
      <c r="D140" s="15" t="s">
        <v>260</v>
      </c>
      <c r="E140" s="15" t="s">
        <v>185</v>
      </c>
      <c r="F140" s="16" t="s">
        <v>22</v>
      </c>
      <c r="G140" s="16" t="s">
        <v>30</v>
      </c>
      <c r="H140" s="16" t="s">
        <v>27</v>
      </c>
      <c r="I140" s="16" t="s">
        <v>28</v>
      </c>
      <c r="J140" s="17">
        <v>17317</v>
      </c>
    </row>
    <row r="141" spans="1:10" ht="29.25" x14ac:dyDescent="0.25">
      <c r="A141" s="29"/>
      <c r="B141" s="34" t="s">
        <v>261</v>
      </c>
      <c r="C141" s="14" t="s">
        <v>262</v>
      </c>
      <c r="D141" s="15" t="s">
        <v>260</v>
      </c>
      <c r="E141" s="15" t="s">
        <v>185</v>
      </c>
      <c r="F141" s="16" t="s">
        <v>263</v>
      </c>
      <c r="G141" s="16" t="s">
        <v>264</v>
      </c>
      <c r="H141" s="16" t="s">
        <v>73</v>
      </c>
      <c r="I141" s="16" t="s">
        <v>41</v>
      </c>
      <c r="J141" s="17">
        <v>975</v>
      </c>
    </row>
    <row r="142" spans="1:10" x14ac:dyDescent="0.25">
      <c r="A142" s="29"/>
      <c r="B142" s="34" t="s">
        <v>265</v>
      </c>
      <c r="C142" s="14" t="s">
        <v>228</v>
      </c>
      <c r="D142" s="15" t="s">
        <v>260</v>
      </c>
      <c r="E142" s="15" t="s">
        <v>185</v>
      </c>
      <c r="F142" s="16" t="s">
        <v>266</v>
      </c>
      <c r="G142" s="16" t="s">
        <v>267</v>
      </c>
      <c r="H142" s="16" t="s">
        <v>88</v>
      </c>
      <c r="I142" s="16" t="s">
        <v>268</v>
      </c>
      <c r="J142" s="17">
        <v>14500</v>
      </c>
    </row>
    <row r="143" spans="1:10" x14ac:dyDescent="0.25">
      <c r="A143" s="37"/>
      <c r="B143" s="34" t="s">
        <v>269</v>
      </c>
      <c r="C143" s="14" t="s">
        <v>228</v>
      </c>
      <c r="D143" s="15" t="s">
        <v>260</v>
      </c>
      <c r="E143" s="15" t="s">
        <v>185</v>
      </c>
      <c r="F143" s="16" t="s">
        <v>270</v>
      </c>
      <c r="G143" s="16" t="s">
        <v>267</v>
      </c>
      <c r="H143" s="16" t="s">
        <v>88</v>
      </c>
      <c r="I143" s="16" t="s">
        <v>268</v>
      </c>
      <c r="J143" s="17">
        <v>35000</v>
      </c>
    </row>
    <row r="144" spans="1:10" ht="29.25" x14ac:dyDescent="0.25">
      <c r="A144" s="37"/>
      <c r="B144" s="34" t="s">
        <v>250</v>
      </c>
      <c r="C144" s="14" t="s">
        <v>271</v>
      </c>
      <c r="D144" s="15" t="s">
        <v>272</v>
      </c>
      <c r="E144" s="15" t="s">
        <v>185</v>
      </c>
      <c r="F144" s="16" t="s">
        <v>123</v>
      </c>
      <c r="G144" s="16" t="s">
        <v>251</v>
      </c>
      <c r="H144" s="16" t="s">
        <v>19</v>
      </c>
      <c r="I144" s="16" t="s">
        <v>41</v>
      </c>
      <c r="J144" s="17">
        <f>145451*40%</f>
        <v>58180.4</v>
      </c>
    </row>
    <row r="145" spans="1:10" x14ac:dyDescent="0.25">
      <c r="A145" s="37"/>
      <c r="B145" s="38">
        <v>12115</v>
      </c>
      <c r="C145" s="14" t="s">
        <v>273</v>
      </c>
      <c r="D145" s="36" t="s">
        <v>272</v>
      </c>
      <c r="E145" s="36" t="s">
        <v>185</v>
      </c>
      <c r="F145" s="16" t="s">
        <v>274</v>
      </c>
      <c r="G145" s="16" t="s">
        <v>275</v>
      </c>
      <c r="H145" s="16" t="s">
        <v>73</v>
      </c>
      <c r="I145" s="16" t="s">
        <v>101</v>
      </c>
      <c r="J145" s="17">
        <v>100000</v>
      </c>
    </row>
    <row r="146" spans="1:10" ht="29.25" x14ac:dyDescent="0.25">
      <c r="A146" s="29"/>
      <c r="B146" s="34" t="s">
        <v>276</v>
      </c>
      <c r="C146" s="14" t="s">
        <v>277</v>
      </c>
      <c r="D146" s="15" t="s">
        <v>272</v>
      </c>
      <c r="E146" s="15" t="s">
        <v>185</v>
      </c>
      <c r="F146" s="16" t="s">
        <v>278</v>
      </c>
      <c r="G146" s="16" t="s">
        <v>279</v>
      </c>
      <c r="H146" s="16" t="s">
        <v>34</v>
      </c>
      <c r="I146" s="16" t="s">
        <v>28</v>
      </c>
      <c r="J146" s="17">
        <f>359515*50%</f>
        <v>179757.5</v>
      </c>
    </row>
    <row r="147" spans="1:10" s="32" customFormat="1" ht="30" x14ac:dyDescent="0.3">
      <c r="A147" s="31"/>
      <c r="B147" s="13" t="s">
        <v>276</v>
      </c>
      <c r="C147" s="14" t="s">
        <v>271</v>
      </c>
      <c r="D147" s="15" t="s">
        <v>272</v>
      </c>
      <c r="E147" s="15" t="s">
        <v>185</v>
      </c>
      <c r="F147" s="16" t="s">
        <v>278</v>
      </c>
      <c r="G147" s="16" t="s">
        <v>279</v>
      </c>
      <c r="H147" s="16" t="s">
        <v>34</v>
      </c>
      <c r="I147" s="16" t="s">
        <v>28</v>
      </c>
      <c r="J147" s="17">
        <f>359515*50%</f>
        <v>179757.5</v>
      </c>
    </row>
    <row r="148" spans="1:10" s="32" customFormat="1" ht="16.5" x14ac:dyDescent="0.3">
      <c r="A148" s="39"/>
      <c r="B148" s="24" t="s">
        <v>280</v>
      </c>
      <c r="C148" s="25" t="s">
        <v>281</v>
      </c>
      <c r="D148" s="25" t="s">
        <v>272</v>
      </c>
      <c r="E148" s="25" t="s">
        <v>185</v>
      </c>
      <c r="F148" s="40" t="s">
        <v>282</v>
      </c>
      <c r="G148" s="41" t="s">
        <v>283</v>
      </c>
      <c r="H148" s="27" t="s">
        <v>19</v>
      </c>
      <c r="I148" s="27" t="s">
        <v>28</v>
      </c>
      <c r="J148" s="17">
        <v>131768</v>
      </c>
    </row>
    <row r="149" spans="1:10" s="32" customFormat="1" ht="16.5" x14ac:dyDescent="0.3">
      <c r="A149" s="31"/>
      <c r="B149" s="24" t="s">
        <v>280</v>
      </c>
      <c r="C149" s="25" t="s">
        <v>281</v>
      </c>
      <c r="D149" s="25" t="s">
        <v>272</v>
      </c>
      <c r="E149" s="25" t="s">
        <v>185</v>
      </c>
      <c r="F149" s="40" t="s">
        <v>282</v>
      </c>
      <c r="G149" s="41" t="s">
        <v>284</v>
      </c>
      <c r="H149" s="27" t="s">
        <v>19</v>
      </c>
      <c r="I149" s="27" t="s">
        <v>28</v>
      </c>
      <c r="J149" s="17">
        <v>131766</v>
      </c>
    </row>
    <row r="150" spans="1:10" s="32" customFormat="1" ht="16.5" x14ac:dyDescent="0.3">
      <c r="A150" s="31"/>
      <c r="B150" s="24">
        <v>12019</v>
      </c>
      <c r="C150" s="25" t="s">
        <v>271</v>
      </c>
      <c r="D150" s="25" t="s">
        <v>272</v>
      </c>
      <c r="E150" s="25" t="s">
        <v>185</v>
      </c>
      <c r="F150" s="40" t="s">
        <v>282</v>
      </c>
      <c r="G150" s="41" t="s">
        <v>285</v>
      </c>
      <c r="H150" s="27" t="s">
        <v>19</v>
      </c>
      <c r="I150" s="27" t="s">
        <v>268</v>
      </c>
      <c r="J150" s="17">
        <v>79416</v>
      </c>
    </row>
    <row r="151" spans="1:10" x14ac:dyDescent="0.25">
      <c r="B151" s="6" t="s">
        <v>286</v>
      </c>
      <c r="C151" s="6"/>
      <c r="D151" s="6"/>
      <c r="E151" s="6"/>
      <c r="F151" s="6"/>
      <c r="G151" s="6"/>
      <c r="H151" s="7" t="s">
        <v>3</v>
      </c>
      <c r="I151" s="7"/>
      <c r="J151" s="8">
        <f>SUM(J154:J210)</f>
        <v>435230.34099999996</v>
      </c>
    </row>
    <row r="152" spans="1:10" x14ac:dyDescent="0.25">
      <c r="B152" s="6"/>
      <c r="C152" s="6"/>
      <c r="D152" s="6"/>
      <c r="E152" s="6"/>
      <c r="F152" s="6"/>
      <c r="G152" s="6"/>
      <c r="H152" s="7"/>
      <c r="I152" s="7"/>
      <c r="J152" s="9"/>
    </row>
    <row r="153" spans="1:10" ht="29.25" x14ac:dyDescent="0.25">
      <c r="B153" s="10" t="s">
        <v>4</v>
      </c>
      <c r="C153" s="10" t="s">
        <v>5</v>
      </c>
      <c r="D153" s="10" t="s">
        <v>6</v>
      </c>
      <c r="E153" s="10" t="s">
        <v>7</v>
      </c>
      <c r="F153" s="10" t="s">
        <v>8</v>
      </c>
      <c r="G153" s="10" t="s">
        <v>9</v>
      </c>
      <c r="H153" s="10" t="s">
        <v>10</v>
      </c>
      <c r="I153" s="10" t="s">
        <v>11</v>
      </c>
      <c r="J153" s="11" t="s">
        <v>12</v>
      </c>
    </row>
    <row r="154" spans="1:10" ht="43.5" x14ac:dyDescent="0.25">
      <c r="B154" s="13" t="s">
        <v>287</v>
      </c>
      <c r="C154" s="14" t="s">
        <v>288</v>
      </c>
      <c r="D154" s="15" t="s">
        <v>289</v>
      </c>
      <c r="E154" s="15" t="s">
        <v>290</v>
      </c>
      <c r="F154" s="16" t="s">
        <v>291</v>
      </c>
      <c r="G154" s="16" t="s">
        <v>292</v>
      </c>
      <c r="H154" s="16" t="s">
        <v>88</v>
      </c>
      <c r="I154" s="16" t="s">
        <v>28</v>
      </c>
      <c r="J154" s="17">
        <f>758.38*5%</f>
        <v>37.919000000000004</v>
      </c>
    </row>
    <row r="155" spans="1:10" ht="29.25" x14ac:dyDescent="0.25">
      <c r="B155" s="13" t="s">
        <v>293</v>
      </c>
      <c r="C155" s="14" t="s">
        <v>288</v>
      </c>
      <c r="D155" s="15" t="s">
        <v>289</v>
      </c>
      <c r="E155" s="15" t="s">
        <v>290</v>
      </c>
      <c r="F155" s="16" t="s">
        <v>294</v>
      </c>
      <c r="G155" s="16" t="s">
        <v>295</v>
      </c>
      <c r="H155" s="16" t="s">
        <v>88</v>
      </c>
      <c r="I155" s="16" t="s">
        <v>28</v>
      </c>
      <c r="J155" s="17">
        <f>1692.82*5%</f>
        <v>84.641000000000005</v>
      </c>
    </row>
    <row r="156" spans="1:10" ht="29.25" x14ac:dyDescent="0.25">
      <c r="B156" s="13" t="s">
        <v>296</v>
      </c>
      <c r="C156" s="14" t="s">
        <v>288</v>
      </c>
      <c r="D156" s="15" t="s">
        <v>289</v>
      </c>
      <c r="E156" s="15" t="s">
        <v>290</v>
      </c>
      <c r="F156" s="16" t="s">
        <v>297</v>
      </c>
      <c r="G156" s="16" t="s">
        <v>298</v>
      </c>
      <c r="H156" s="16" t="s">
        <v>88</v>
      </c>
      <c r="I156" s="16" t="s">
        <v>28</v>
      </c>
      <c r="J156" s="17">
        <f>1550*10%</f>
        <v>155</v>
      </c>
    </row>
    <row r="157" spans="1:10" ht="29.25" x14ac:dyDescent="0.25">
      <c r="B157" s="13" t="s">
        <v>299</v>
      </c>
      <c r="C157" s="14" t="s">
        <v>288</v>
      </c>
      <c r="D157" s="15" t="s">
        <v>289</v>
      </c>
      <c r="E157" s="15" t="s">
        <v>290</v>
      </c>
      <c r="F157" s="16" t="s">
        <v>300</v>
      </c>
      <c r="G157" s="16" t="s">
        <v>301</v>
      </c>
      <c r="H157" s="16" t="s">
        <v>88</v>
      </c>
      <c r="I157" s="16" t="s">
        <v>28</v>
      </c>
      <c r="J157" s="17">
        <f>1928.91*10%</f>
        <v>192.89100000000002</v>
      </c>
    </row>
    <row r="158" spans="1:10" ht="29.25" x14ac:dyDescent="0.25">
      <c r="B158" s="13" t="s">
        <v>302</v>
      </c>
      <c r="C158" s="14" t="s">
        <v>288</v>
      </c>
      <c r="D158" s="15" t="s">
        <v>289</v>
      </c>
      <c r="E158" s="15" t="s">
        <v>290</v>
      </c>
      <c r="F158" s="16" t="s">
        <v>303</v>
      </c>
      <c r="G158" s="16" t="s">
        <v>304</v>
      </c>
      <c r="H158" s="16" t="s">
        <v>88</v>
      </c>
      <c r="I158" s="16" t="s">
        <v>28</v>
      </c>
      <c r="J158" s="17">
        <f>5000*5%</f>
        <v>250</v>
      </c>
    </row>
    <row r="159" spans="1:10" ht="29.25" x14ac:dyDescent="0.25">
      <c r="B159" s="13" t="s">
        <v>305</v>
      </c>
      <c r="C159" s="14" t="s">
        <v>288</v>
      </c>
      <c r="D159" s="15" t="s">
        <v>289</v>
      </c>
      <c r="E159" s="15" t="s">
        <v>290</v>
      </c>
      <c r="F159" s="16" t="s">
        <v>294</v>
      </c>
      <c r="G159" s="16" t="s">
        <v>306</v>
      </c>
      <c r="H159" s="16" t="s">
        <v>88</v>
      </c>
      <c r="I159" s="16" t="s">
        <v>28</v>
      </c>
      <c r="J159" s="17">
        <f>1812.39*15%</f>
        <v>271.85849999999999</v>
      </c>
    </row>
    <row r="160" spans="1:10" ht="29.25" x14ac:dyDescent="0.25">
      <c r="B160" s="35">
        <v>12061</v>
      </c>
      <c r="C160" s="14" t="s">
        <v>288</v>
      </c>
      <c r="D160" s="36" t="s">
        <v>289</v>
      </c>
      <c r="E160" s="36" t="s">
        <v>290</v>
      </c>
      <c r="F160" s="16" t="s">
        <v>307</v>
      </c>
      <c r="G160" s="16" t="s">
        <v>308</v>
      </c>
      <c r="H160" s="16" t="s">
        <v>88</v>
      </c>
      <c r="I160" s="16" t="s">
        <v>28</v>
      </c>
      <c r="J160" s="17">
        <f>1808.68*20%</f>
        <v>361.73600000000005</v>
      </c>
    </row>
    <row r="161" spans="2:10" ht="29.25" x14ac:dyDescent="0.25">
      <c r="B161" s="13" t="s">
        <v>309</v>
      </c>
      <c r="C161" s="14" t="s">
        <v>288</v>
      </c>
      <c r="D161" s="15" t="s">
        <v>289</v>
      </c>
      <c r="E161" s="15" t="s">
        <v>290</v>
      </c>
      <c r="F161" s="16" t="s">
        <v>310</v>
      </c>
      <c r="G161" s="16" t="s">
        <v>311</v>
      </c>
      <c r="H161" s="16" t="s">
        <v>88</v>
      </c>
      <c r="I161" s="16" t="s">
        <v>28</v>
      </c>
      <c r="J161" s="17">
        <f>2087.81*20%</f>
        <v>417.56200000000001</v>
      </c>
    </row>
    <row r="162" spans="2:10" ht="29.25" x14ac:dyDescent="0.25">
      <c r="B162" s="13" t="s">
        <v>312</v>
      </c>
      <c r="C162" s="14" t="s">
        <v>313</v>
      </c>
      <c r="D162" s="15" t="s">
        <v>289</v>
      </c>
      <c r="E162" s="15" t="s">
        <v>290</v>
      </c>
      <c r="F162" s="16" t="s">
        <v>314</v>
      </c>
      <c r="G162" s="16" t="s">
        <v>315</v>
      </c>
      <c r="H162" s="16" t="s">
        <v>88</v>
      </c>
      <c r="I162" s="16" t="s">
        <v>28</v>
      </c>
      <c r="J162" s="17">
        <f>2205.37*20%</f>
        <v>441.07400000000001</v>
      </c>
    </row>
    <row r="163" spans="2:10" ht="43.5" x14ac:dyDescent="0.25">
      <c r="B163" s="13" t="s">
        <v>287</v>
      </c>
      <c r="C163" s="14" t="s">
        <v>316</v>
      </c>
      <c r="D163" s="15" t="s">
        <v>289</v>
      </c>
      <c r="E163" s="15" t="s">
        <v>290</v>
      </c>
      <c r="F163" s="16" t="s">
        <v>291</v>
      </c>
      <c r="G163" s="16" t="s">
        <v>292</v>
      </c>
      <c r="H163" s="16" t="s">
        <v>88</v>
      </c>
      <c r="I163" s="16" t="s">
        <v>28</v>
      </c>
      <c r="J163" s="17">
        <f>758.38*95%</f>
        <v>720.46100000000001</v>
      </c>
    </row>
    <row r="164" spans="2:10" ht="29.25" x14ac:dyDescent="0.25">
      <c r="B164" s="13" t="s">
        <v>317</v>
      </c>
      <c r="C164" s="14" t="s">
        <v>313</v>
      </c>
      <c r="D164" s="15" t="s">
        <v>289</v>
      </c>
      <c r="E164" s="15" t="s">
        <v>290</v>
      </c>
      <c r="F164" s="16" t="s">
        <v>318</v>
      </c>
      <c r="G164" s="16" t="s">
        <v>319</v>
      </c>
      <c r="H164" s="16" t="s">
        <v>320</v>
      </c>
      <c r="I164" s="16" t="s">
        <v>28</v>
      </c>
      <c r="J164" s="17">
        <f>1522.81*50%</f>
        <v>761.40499999999997</v>
      </c>
    </row>
    <row r="165" spans="2:10" ht="29.25" x14ac:dyDescent="0.25">
      <c r="B165" s="13" t="s">
        <v>317</v>
      </c>
      <c r="C165" s="14" t="s">
        <v>316</v>
      </c>
      <c r="D165" s="15" t="s">
        <v>289</v>
      </c>
      <c r="E165" s="15" t="s">
        <v>290</v>
      </c>
      <c r="F165" s="16" t="s">
        <v>318</v>
      </c>
      <c r="G165" s="16" t="s">
        <v>319</v>
      </c>
      <c r="H165" s="16" t="s">
        <v>320</v>
      </c>
      <c r="I165" s="16" t="s">
        <v>28</v>
      </c>
      <c r="J165" s="17">
        <f>1522.81*50%</f>
        <v>761.40499999999997</v>
      </c>
    </row>
    <row r="166" spans="2:10" x14ac:dyDescent="0.25">
      <c r="B166" s="13" t="s">
        <v>321</v>
      </c>
      <c r="C166" s="14" t="s">
        <v>313</v>
      </c>
      <c r="D166" s="15" t="s">
        <v>289</v>
      </c>
      <c r="E166" s="15" t="s">
        <v>290</v>
      </c>
      <c r="F166" s="16" t="s">
        <v>322</v>
      </c>
      <c r="G166" s="16" t="s">
        <v>323</v>
      </c>
      <c r="H166" s="16" t="s">
        <v>88</v>
      </c>
      <c r="I166" s="16" t="s">
        <v>28</v>
      </c>
      <c r="J166" s="17">
        <v>1045.58</v>
      </c>
    </row>
    <row r="167" spans="2:10" ht="29.25" x14ac:dyDescent="0.25">
      <c r="B167" s="13" t="s">
        <v>296</v>
      </c>
      <c r="C167" s="14" t="s">
        <v>316</v>
      </c>
      <c r="D167" s="15" t="s">
        <v>289</v>
      </c>
      <c r="E167" s="15" t="s">
        <v>290</v>
      </c>
      <c r="F167" s="16" t="s">
        <v>297</v>
      </c>
      <c r="G167" s="16" t="s">
        <v>298</v>
      </c>
      <c r="H167" s="16" t="s">
        <v>88</v>
      </c>
      <c r="I167" s="16" t="s">
        <v>28</v>
      </c>
      <c r="J167" s="17">
        <f>1550*90%</f>
        <v>1395</v>
      </c>
    </row>
    <row r="168" spans="2:10" ht="29.25" x14ac:dyDescent="0.25">
      <c r="B168" s="35">
        <v>12061</v>
      </c>
      <c r="C168" s="14" t="s">
        <v>316</v>
      </c>
      <c r="D168" s="36" t="s">
        <v>289</v>
      </c>
      <c r="E168" s="36" t="s">
        <v>290</v>
      </c>
      <c r="F168" s="16" t="s">
        <v>307</v>
      </c>
      <c r="G168" s="16" t="s">
        <v>308</v>
      </c>
      <c r="H168" s="16" t="s">
        <v>88</v>
      </c>
      <c r="I168" s="16" t="s">
        <v>28</v>
      </c>
      <c r="J168" s="17">
        <f>1808.68*80%</f>
        <v>1446.9440000000002</v>
      </c>
    </row>
    <row r="169" spans="2:10" ht="29.25" x14ac:dyDescent="0.25">
      <c r="B169" s="13" t="s">
        <v>324</v>
      </c>
      <c r="C169" s="14" t="s">
        <v>325</v>
      </c>
      <c r="D169" s="15" t="s">
        <v>289</v>
      </c>
      <c r="E169" s="15" t="s">
        <v>290</v>
      </c>
      <c r="F169" s="16" t="s">
        <v>326</v>
      </c>
      <c r="G169" s="16" t="s">
        <v>327</v>
      </c>
      <c r="H169" s="16" t="s">
        <v>88</v>
      </c>
      <c r="I169" s="16" t="s">
        <v>28</v>
      </c>
      <c r="J169" s="17">
        <v>1535.05</v>
      </c>
    </row>
    <row r="170" spans="2:10" ht="29.25" x14ac:dyDescent="0.25">
      <c r="B170" s="13" t="s">
        <v>305</v>
      </c>
      <c r="C170" s="14" t="s">
        <v>316</v>
      </c>
      <c r="D170" s="15" t="s">
        <v>289</v>
      </c>
      <c r="E170" s="15" t="s">
        <v>290</v>
      </c>
      <c r="F170" s="16" t="s">
        <v>294</v>
      </c>
      <c r="G170" s="16" t="s">
        <v>306</v>
      </c>
      <c r="H170" s="16" t="s">
        <v>88</v>
      </c>
      <c r="I170" s="16" t="s">
        <v>28</v>
      </c>
      <c r="J170" s="17">
        <f>1812.39*85%</f>
        <v>1540.5315000000001</v>
      </c>
    </row>
    <row r="171" spans="2:10" ht="29.25" x14ac:dyDescent="0.25">
      <c r="B171" s="13" t="s">
        <v>293</v>
      </c>
      <c r="C171" s="14" t="s">
        <v>316</v>
      </c>
      <c r="D171" s="15" t="s">
        <v>289</v>
      </c>
      <c r="E171" s="15" t="s">
        <v>290</v>
      </c>
      <c r="F171" s="16" t="s">
        <v>294</v>
      </c>
      <c r="G171" s="16" t="s">
        <v>295</v>
      </c>
      <c r="H171" s="16" t="s">
        <v>88</v>
      </c>
      <c r="I171" s="16" t="s">
        <v>28</v>
      </c>
      <c r="J171" s="17">
        <f>1692.82*95%</f>
        <v>1608.1789999999999</v>
      </c>
    </row>
    <row r="172" spans="2:10" ht="29.25" x14ac:dyDescent="0.25">
      <c r="B172" s="13" t="s">
        <v>309</v>
      </c>
      <c r="C172" s="14" t="s">
        <v>316</v>
      </c>
      <c r="D172" s="15" t="s">
        <v>289</v>
      </c>
      <c r="E172" s="15" t="s">
        <v>290</v>
      </c>
      <c r="F172" s="16" t="s">
        <v>310</v>
      </c>
      <c r="G172" s="16" t="s">
        <v>311</v>
      </c>
      <c r="H172" s="16" t="s">
        <v>88</v>
      </c>
      <c r="I172" s="16" t="s">
        <v>28</v>
      </c>
      <c r="J172" s="17">
        <f>2087.81*80%</f>
        <v>1670.248</v>
      </c>
    </row>
    <row r="173" spans="2:10" ht="29.25" x14ac:dyDescent="0.25">
      <c r="B173" s="13" t="s">
        <v>299</v>
      </c>
      <c r="C173" s="14" t="s">
        <v>316</v>
      </c>
      <c r="D173" s="15" t="s">
        <v>289</v>
      </c>
      <c r="E173" s="15" t="s">
        <v>290</v>
      </c>
      <c r="F173" s="16" t="s">
        <v>300</v>
      </c>
      <c r="G173" s="16" t="s">
        <v>301</v>
      </c>
      <c r="H173" s="16" t="s">
        <v>88</v>
      </c>
      <c r="I173" s="16" t="s">
        <v>28</v>
      </c>
      <c r="J173" s="17">
        <f>1928.91*90%</f>
        <v>1736.019</v>
      </c>
    </row>
    <row r="174" spans="2:10" ht="29.25" x14ac:dyDescent="0.25">
      <c r="B174" s="13" t="s">
        <v>312</v>
      </c>
      <c r="C174" s="14" t="s">
        <v>316</v>
      </c>
      <c r="D174" s="15" t="s">
        <v>289</v>
      </c>
      <c r="E174" s="15" t="s">
        <v>290</v>
      </c>
      <c r="F174" s="16" t="s">
        <v>314</v>
      </c>
      <c r="G174" s="16" t="s">
        <v>315</v>
      </c>
      <c r="H174" s="16" t="s">
        <v>88</v>
      </c>
      <c r="I174" s="16" t="s">
        <v>28</v>
      </c>
      <c r="J174" s="17">
        <f>2205.37*80%</f>
        <v>1764.296</v>
      </c>
    </row>
    <row r="175" spans="2:10" ht="29.25" x14ac:dyDescent="0.25">
      <c r="B175" s="13" t="s">
        <v>328</v>
      </c>
      <c r="C175" s="14" t="s">
        <v>313</v>
      </c>
      <c r="D175" s="15" t="s">
        <v>289</v>
      </c>
      <c r="E175" s="15" t="s">
        <v>290</v>
      </c>
      <c r="F175" s="16" t="s">
        <v>329</v>
      </c>
      <c r="G175" s="16" t="s">
        <v>330</v>
      </c>
      <c r="H175" s="16" t="s">
        <v>88</v>
      </c>
      <c r="I175" s="16" t="s">
        <v>28</v>
      </c>
      <c r="J175" s="17">
        <f>4921.08*40%</f>
        <v>1968.432</v>
      </c>
    </row>
    <row r="176" spans="2:10" ht="29.25" x14ac:dyDescent="0.25">
      <c r="B176" s="13" t="s">
        <v>302</v>
      </c>
      <c r="C176" s="14" t="s">
        <v>316</v>
      </c>
      <c r="D176" s="15" t="s">
        <v>289</v>
      </c>
      <c r="E176" s="15" t="s">
        <v>290</v>
      </c>
      <c r="F176" s="16" t="s">
        <v>303</v>
      </c>
      <c r="G176" s="16" t="s">
        <v>304</v>
      </c>
      <c r="H176" s="16" t="s">
        <v>88</v>
      </c>
      <c r="I176" s="16" t="s">
        <v>28</v>
      </c>
      <c r="J176" s="17">
        <f>5000*45%</f>
        <v>2250</v>
      </c>
    </row>
    <row r="177" spans="2:10" ht="29.25" x14ac:dyDescent="0.25">
      <c r="B177" s="13" t="s">
        <v>302</v>
      </c>
      <c r="C177" s="14" t="s">
        <v>313</v>
      </c>
      <c r="D177" s="15" t="s">
        <v>289</v>
      </c>
      <c r="E177" s="15" t="s">
        <v>290</v>
      </c>
      <c r="F177" s="16" t="s">
        <v>303</v>
      </c>
      <c r="G177" s="16" t="s">
        <v>304</v>
      </c>
      <c r="H177" s="16" t="s">
        <v>88</v>
      </c>
      <c r="I177" s="16" t="s">
        <v>28</v>
      </c>
      <c r="J177" s="17">
        <f>5000*50%</f>
        <v>2500</v>
      </c>
    </row>
    <row r="178" spans="2:10" ht="29.25" x14ac:dyDescent="0.25">
      <c r="B178" s="13" t="s">
        <v>328</v>
      </c>
      <c r="C178" s="14" t="s">
        <v>316</v>
      </c>
      <c r="D178" s="15" t="s">
        <v>289</v>
      </c>
      <c r="E178" s="15" t="s">
        <v>290</v>
      </c>
      <c r="F178" s="16" t="s">
        <v>329</v>
      </c>
      <c r="G178" s="16" t="s">
        <v>330</v>
      </c>
      <c r="H178" s="16" t="s">
        <v>88</v>
      </c>
      <c r="I178" s="16" t="s">
        <v>28</v>
      </c>
      <c r="J178" s="17">
        <f>4921.08*60%</f>
        <v>2952.6479999999997</v>
      </c>
    </row>
    <row r="179" spans="2:10" ht="29.25" x14ac:dyDescent="0.25">
      <c r="B179" s="13" t="s">
        <v>331</v>
      </c>
      <c r="C179" s="14" t="s">
        <v>288</v>
      </c>
      <c r="D179" s="15" t="s">
        <v>289</v>
      </c>
      <c r="E179" s="15" t="s">
        <v>290</v>
      </c>
      <c r="F179" s="16" t="s">
        <v>332</v>
      </c>
      <c r="G179" s="16" t="s">
        <v>333</v>
      </c>
      <c r="H179" s="16" t="s">
        <v>88</v>
      </c>
      <c r="I179" s="16" t="s">
        <v>28</v>
      </c>
      <c r="J179" s="17">
        <v>4500</v>
      </c>
    </row>
    <row r="180" spans="2:10" ht="29.25" x14ac:dyDescent="0.25">
      <c r="B180" s="13" t="s">
        <v>334</v>
      </c>
      <c r="C180" s="14" t="s">
        <v>288</v>
      </c>
      <c r="D180" s="15" t="s">
        <v>289</v>
      </c>
      <c r="E180" s="15" t="s">
        <v>290</v>
      </c>
      <c r="F180" s="16" t="s">
        <v>335</v>
      </c>
      <c r="G180" s="16" t="s">
        <v>336</v>
      </c>
      <c r="H180" s="16" t="s">
        <v>34</v>
      </c>
      <c r="I180" s="16" t="s">
        <v>28</v>
      </c>
      <c r="J180" s="17">
        <f>33502*20%</f>
        <v>6700.4000000000005</v>
      </c>
    </row>
    <row r="181" spans="2:10" ht="29.25" x14ac:dyDescent="0.25">
      <c r="B181" s="13" t="s">
        <v>337</v>
      </c>
      <c r="C181" s="14" t="s">
        <v>288</v>
      </c>
      <c r="D181" s="15" t="s">
        <v>289</v>
      </c>
      <c r="E181" s="15" t="s">
        <v>290</v>
      </c>
      <c r="F181" s="16" t="s">
        <v>338</v>
      </c>
      <c r="G181" s="16" t="s">
        <v>339</v>
      </c>
      <c r="H181" s="16" t="s">
        <v>88</v>
      </c>
      <c r="I181" s="16" t="s">
        <v>28</v>
      </c>
      <c r="J181" s="17">
        <f>49930.47*18%</f>
        <v>8987.4845999999998</v>
      </c>
    </row>
    <row r="182" spans="2:10" ht="29.25" x14ac:dyDescent="0.25">
      <c r="B182" s="13" t="s">
        <v>340</v>
      </c>
      <c r="C182" s="14" t="s">
        <v>288</v>
      </c>
      <c r="D182" s="15" t="s">
        <v>289</v>
      </c>
      <c r="E182" s="15" t="s">
        <v>290</v>
      </c>
      <c r="F182" s="16" t="s">
        <v>332</v>
      </c>
      <c r="G182" s="16" t="s">
        <v>341</v>
      </c>
      <c r="H182" s="16" t="s">
        <v>88</v>
      </c>
      <c r="I182" s="16" t="s">
        <v>28</v>
      </c>
      <c r="J182" s="17">
        <v>8999.99</v>
      </c>
    </row>
    <row r="183" spans="2:10" x14ac:dyDescent="0.25">
      <c r="B183" s="13" t="s">
        <v>22</v>
      </c>
      <c r="C183" s="14" t="s">
        <v>288</v>
      </c>
      <c r="D183" s="15" t="s">
        <v>289</v>
      </c>
      <c r="E183" s="15" t="s">
        <v>290</v>
      </c>
      <c r="F183" s="16" t="s">
        <v>22</v>
      </c>
      <c r="G183" s="16" t="s">
        <v>29</v>
      </c>
      <c r="H183" s="16" t="s">
        <v>27</v>
      </c>
      <c r="I183" s="16" t="s">
        <v>28</v>
      </c>
      <c r="J183" s="17">
        <v>10733</v>
      </c>
    </row>
    <row r="184" spans="2:10" x14ac:dyDescent="0.25">
      <c r="B184" s="13" t="s">
        <v>342</v>
      </c>
      <c r="C184" s="14" t="s">
        <v>288</v>
      </c>
      <c r="D184" s="15" t="s">
        <v>289</v>
      </c>
      <c r="E184" s="15" t="s">
        <v>290</v>
      </c>
      <c r="F184" s="16" t="s">
        <v>343</v>
      </c>
      <c r="G184" s="16" t="s">
        <v>344</v>
      </c>
      <c r="H184" s="16" t="s">
        <v>34</v>
      </c>
      <c r="I184" s="16" t="s">
        <v>28</v>
      </c>
      <c r="J184" s="17">
        <f>72902*15%</f>
        <v>10935.3</v>
      </c>
    </row>
    <row r="185" spans="2:10" ht="29.25" x14ac:dyDescent="0.25">
      <c r="B185" s="13" t="s">
        <v>334</v>
      </c>
      <c r="C185" s="14" t="s">
        <v>316</v>
      </c>
      <c r="D185" s="15" t="s">
        <v>289</v>
      </c>
      <c r="E185" s="15" t="s">
        <v>290</v>
      </c>
      <c r="F185" s="16" t="s">
        <v>335</v>
      </c>
      <c r="G185" s="16" t="s">
        <v>336</v>
      </c>
      <c r="H185" s="16" t="s">
        <v>34</v>
      </c>
      <c r="I185" s="16" t="s">
        <v>28</v>
      </c>
      <c r="J185" s="17">
        <f>33502*35%</f>
        <v>11725.699999999999</v>
      </c>
    </row>
    <row r="186" spans="2:10" x14ac:dyDescent="0.25">
      <c r="B186" s="13" t="s">
        <v>22</v>
      </c>
      <c r="C186" s="14" t="s">
        <v>288</v>
      </c>
      <c r="D186" s="15" t="s">
        <v>289</v>
      </c>
      <c r="E186" s="15" t="s">
        <v>290</v>
      </c>
      <c r="F186" s="16" t="s">
        <v>22</v>
      </c>
      <c r="G186" s="16" t="s">
        <v>30</v>
      </c>
      <c r="H186" s="16" t="s">
        <v>27</v>
      </c>
      <c r="I186" s="16" t="s">
        <v>28</v>
      </c>
      <c r="J186" s="17">
        <v>14655</v>
      </c>
    </row>
    <row r="187" spans="2:10" ht="29.25" x14ac:dyDescent="0.25">
      <c r="B187" s="13" t="s">
        <v>334</v>
      </c>
      <c r="C187" s="14" t="s">
        <v>313</v>
      </c>
      <c r="D187" s="15" t="s">
        <v>289</v>
      </c>
      <c r="E187" s="15" t="s">
        <v>290</v>
      </c>
      <c r="F187" s="16" t="s">
        <v>335</v>
      </c>
      <c r="G187" s="16" t="s">
        <v>336</v>
      </c>
      <c r="H187" s="16" t="s">
        <v>34</v>
      </c>
      <c r="I187" s="16" t="s">
        <v>28</v>
      </c>
      <c r="J187" s="17">
        <f>33502*45%</f>
        <v>15075.9</v>
      </c>
    </row>
    <row r="188" spans="2:10" ht="29.25" x14ac:dyDescent="0.25">
      <c r="B188" s="13" t="s">
        <v>345</v>
      </c>
      <c r="C188" s="14" t="s">
        <v>346</v>
      </c>
      <c r="D188" s="15" t="s">
        <v>289</v>
      </c>
      <c r="E188" s="15" t="s">
        <v>290</v>
      </c>
      <c r="F188" s="16" t="s">
        <v>343</v>
      </c>
      <c r="G188" s="16" t="s">
        <v>347</v>
      </c>
      <c r="H188" s="16" t="s">
        <v>34</v>
      </c>
      <c r="I188" s="16" t="s">
        <v>28</v>
      </c>
      <c r="J188" s="17">
        <v>19164.400000000001</v>
      </c>
    </row>
    <row r="189" spans="2:10" ht="29.25" x14ac:dyDescent="0.25">
      <c r="B189" s="13" t="s">
        <v>337</v>
      </c>
      <c r="C189" s="14" t="s">
        <v>313</v>
      </c>
      <c r="D189" s="15" t="s">
        <v>289</v>
      </c>
      <c r="E189" s="15" t="s">
        <v>290</v>
      </c>
      <c r="F189" s="16" t="s">
        <v>338</v>
      </c>
      <c r="G189" s="16" t="s">
        <v>339</v>
      </c>
      <c r="H189" s="16" t="s">
        <v>88</v>
      </c>
      <c r="I189" s="16" t="s">
        <v>28</v>
      </c>
      <c r="J189" s="17">
        <f>49930.47*40%</f>
        <v>19972.188000000002</v>
      </c>
    </row>
    <row r="190" spans="2:10" ht="29.25" x14ac:dyDescent="0.25">
      <c r="B190" s="13" t="s">
        <v>337</v>
      </c>
      <c r="C190" s="14" t="s">
        <v>316</v>
      </c>
      <c r="D190" s="15" t="s">
        <v>289</v>
      </c>
      <c r="E190" s="15" t="s">
        <v>290</v>
      </c>
      <c r="F190" s="16" t="s">
        <v>338</v>
      </c>
      <c r="G190" s="16" t="s">
        <v>339</v>
      </c>
      <c r="H190" s="16" t="s">
        <v>88</v>
      </c>
      <c r="I190" s="16" t="s">
        <v>28</v>
      </c>
      <c r="J190" s="17">
        <f>49930.47*42%</f>
        <v>20970.797399999999</v>
      </c>
    </row>
    <row r="191" spans="2:10" x14ac:dyDescent="0.25">
      <c r="B191" s="13" t="s">
        <v>22</v>
      </c>
      <c r="C191" s="14" t="s">
        <v>288</v>
      </c>
      <c r="D191" s="15" t="s">
        <v>289</v>
      </c>
      <c r="E191" s="15" t="s">
        <v>290</v>
      </c>
      <c r="F191" s="16" t="s">
        <v>22</v>
      </c>
      <c r="G191" s="16" t="s">
        <v>26</v>
      </c>
      <c r="H191" s="16" t="s">
        <v>27</v>
      </c>
      <c r="I191" s="16" t="s">
        <v>28</v>
      </c>
      <c r="J191" s="17">
        <v>23734</v>
      </c>
    </row>
    <row r="192" spans="2:10" ht="43.5" x14ac:dyDescent="0.25">
      <c r="B192" s="13" t="s">
        <v>348</v>
      </c>
      <c r="C192" s="14" t="s">
        <v>313</v>
      </c>
      <c r="D192" s="15" t="s">
        <v>289</v>
      </c>
      <c r="E192" s="15" t="s">
        <v>290</v>
      </c>
      <c r="F192" s="16" t="s">
        <v>349</v>
      </c>
      <c r="G192" s="16" t="s">
        <v>350</v>
      </c>
      <c r="H192" s="16" t="s">
        <v>19</v>
      </c>
      <c r="I192" s="16" t="s">
        <v>28</v>
      </c>
      <c r="J192" s="17">
        <v>27854.23</v>
      </c>
    </row>
    <row r="193" spans="1:10" x14ac:dyDescent="0.25">
      <c r="B193" s="13" t="s">
        <v>342</v>
      </c>
      <c r="C193" s="14" t="s">
        <v>346</v>
      </c>
      <c r="D193" s="15" t="s">
        <v>289</v>
      </c>
      <c r="E193" s="15" t="s">
        <v>290</v>
      </c>
      <c r="F193" s="16" t="s">
        <v>343</v>
      </c>
      <c r="G193" s="16" t="s">
        <v>344</v>
      </c>
      <c r="H193" s="16" t="s">
        <v>34</v>
      </c>
      <c r="I193" s="16" t="s">
        <v>28</v>
      </c>
      <c r="J193" s="17">
        <f>72902*80%</f>
        <v>58321.600000000006</v>
      </c>
    </row>
    <row r="194" spans="1:10" ht="29.25" x14ac:dyDescent="0.25">
      <c r="B194" s="24">
        <v>12180</v>
      </c>
      <c r="C194" s="25" t="s">
        <v>288</v>
      </c>
      <c r="D194" s="25" t="s">
        <v>289</v>
      </c>
      <c r="E194" s="25" t="s">
        <v>290</v>
      </c>
      <c r="F194" s="40" t="s">
        <v>17</v>
      </c>
      <c r="G194" s="41" t="s">
        <v>351</v>
      </c>
      <c r="H194" s="27" t="s">
        <v>19</v>
      </c>
      <c r="I194" s="42" t="s">
        <v>28</v>
      </c>
      <c r="J194" s="17">
        <v>9147</v>
      </c>
    </row>
    <row r="195" spans="1:10" ht="29.25" x14ac:dyDescent="0.25">
      <c r="B195" s="33" t="s">
        <v>352</v>
      </c>
      <c r="C195" s="19" t="s">
        <v>288</v>
      </c>
      <c r="D195" s="21" t="s">
        <v>289</v>
      </c>
      <c r="E195" s="21" t="s">
        <v>290</v>
      </c>
      <c r="F195" s="21" t="s">
        <v>353</v>
      </c>
      <c r="G195" s="21" t="s">
        <v>354</v>
      </c>
      <c r="H195" s="21" t="s">
        <v>88</v>
      </c>
      <c r="I195" s="21" t="s">
        <v>28</v>
      </c>
      <c r="J195" s="22">
        <v>1083.8610000000001</v>
      </c>
    </row>
    <row r="196" spans="1:10" ht="29.25" x14ac:dyDescent="0.25">
      <c r="B196" s="33" t="s">
        <v>352</v>
      </c>
      <c r="C196" s="19" t="s">
        <v>313</v>
      </c>
      <c r="D196" s="21" t="s">
        <v>289</v>
      </c>
      <c r="E196" s="21" t="s">
        <v>290</v>
      </c>
      <c r="F196" s="21" t="s">
        <v>353</v>
      </c>
      <c r="G196" s="21" t="s">
        <v>354</v>
      </c>
      <c r="H196" s="21" t="s">
        <v>88</v>
      </c>
      <c r="I196" s="21" t="s">
        <v>28</v>
      </c>
      <c r="J196" s="22">
        <v>5962</v>
      </c>
    </row>
    <row r="197" spans="1:10" ht="29.25" x14ac:dyDescent="0.25">
      <c r="B197" s="33" t="s">
        <v>352</v>
      </c>
      <c r="C197" s="19" t="s">
        <v>316</v>
      </c>
      <c r="D197" s="21" t="s">
        <v>289</v>
      </c>
      <c r="E197" s="21" t="s">
        <v>290</v>
      </c>
      <c r="F197" s="21" t="s">
        <v>353</v>
      </c>
      <c r="G197" s="21" t="s">
        <v>354</v>
      </c>
      <c r="H197" s="21" t="s">
        <v>88</v>
      </c>
      <c r="I197" s="21" t="s">
        <v>28</v>
      </c>
      <c r="J197" s="22">
        <v>3794</v>
      </c>
    </row>
    <row r="198" spans="1:10" ht="29.25" x14ac:dyDescent="0.25">
      <c r="B198" s="33" t="s">
        <v>355</v>
      </c>
      <c r="C198" s="19" t="s">
        <v>288</v>
      </c>
      <c r="D198" s="21" t="s">
        <v>289</v>
      </c>
      <c r="E198" s="21" t="s">
        <v>290</v>
      </c>
      <c r="F198" s="21" t="s">
        <v>356</v>
      </c>
      <c r="G198" s="21" t="s">
        <v>357</v>
      </c>
      <c r="H198" s="21" t="s">
        <v>320</v>
      </c>
      <c r="I198" s="21" t="s">
        <v>41</v>
      </c>
      <c r="J198" s="22">
        <v>1128.501</v>
      </c>
    </row>
    <row r="199" spans="1:10" ht="29.25" x14ac:dyDescent="0.25">
      <c r="B199" s="33" t="s">
        <v>355</v>
      </c>
      <c r="C199" s="19" t="s">
        <v>346</v>
      </c>
      <c r="D199" s="21" t="s">
        <v>289</v>
      </c>
      <c r="E199" s="21" t="s">
        <v>290</v>
      </c>
      <c r="F199" s="21" t="s">
        <v>356</v>
      </c>
      <c r="G199" s="21" t="s">
        <v>357</v>
      </c>
      <c r="H199" s="21" t="s">
        <v>320</v>
      </c>
      <c r="I199" s="21" t="s">
        <v>41</v>
      </c>
      <c r="J199" s="22">
        <v>10156.509</v>
      </c>
    </row>
    <row r="200" spans="1:10" x14ac:dyDescent="0.25">
      <c r="B200" s="18" t="s">
        <v>22</v>
      </c>
      <c r="C200" s="19" t="s">
        <v>288</v>
      </c>
      <c r="D200" s="20" t="s">
        <v>289</v>
      </c>
      <c r="E200" s="20" t="s">
        <v>290</v>
      </c>
      <c r="F200" s="21" t="s">
        <v>22</v>
      </c>
      <c r="G200" s="21" t="s">
        <v>35</v>
      </c>
      <c r="H200" s="21" t="s">
        <v>27</v>
      </c>
      <c r="I200" s="21" t="s">
        <v>28</v>
      </c>
      <c r="J200" s="22">
        <v>27220</v>
      </c>
    </row>
    <row r="201" spans="1:10" x14ac:dyDescent="0.25">
      <c r="B201" s="13" t="s">
        <v>22</v>
      </c>
      <c r="C201" s="14" t="s">
        <v>358</v>
      </c>
      <c r="D201" s="15" t="s">
        <v>359</v>
      </c>
      <c r="E201" s="15" t="s">
        <v>290</v>
      </c>
      <c r="F201" s="16" t="s">
        <v>22</v>
      </c>
      <c r="G201" s="16" t="s">
        <v>29</v>
      </c>
      <c r="H201" s="16" t="s">
        <v>27</v>
      </c>
      <c r="I201" s="16" t="s">
        <v>28</v>
      </c>
      <c r="J201" s="17">
        <v>15122</v>
      </c>
    </row>
    <row r="202" spans="1:10" x14ac:dyDescent="0.25">
      <c r="A202" s="29"/>
      <c r="B202" s="34" t="s">
        <v>360</v>
      </c>
      <c r="C202" s="14" t="s">
        <v>361</v>
      </c>
      <c r="D202" s="15" t="s">
        <v>362</v>
      </c>
      <c r="E202" s="15" t="s">
        <v>290</v>
      </c>
      <c r="F202" s="16" t="s">
        <v>363</v>
      </c>
      <c r="G202" s="16" t="s">
        <v>364</v>
      </c>
      <c r="H202" s="16" t="s">
        <v>19</v>
      </c>
      <c r="I202" s="16" t="s">
        <v>101</v>
      </c>
      <c r="J202" s="17">
        <v>9641.6</v>
      </c>
    </row>
    <row r="203" spans="1:10" x14ac:dyDescent="0.25">
      <c r="A203" s="29"/>
      <c r="B203" s="34" t="s">
        <v>365</v>
      </c>
      <c r="C203" s="14" t="s">
        <v>366</v>
      </c>
      <c r="D203" s="15" t="s">
        <v>362</v>
      </c>
      <c r="E203" s="15" t="s">
        <v>290</v>
      </c>
      <c r="F203" s="16" t="s">
        <v>367</v>
      </c>
      <c r="G203" s="16" t="s">
        <v>368</v>
      </c>
      <c r="H203" s="16" t="s">
        <v>73</v>
      </c>
      <c r="I203" s="16" t="s">
        <v>101</v>
      </c>
      <c r="J203" s="17">
        <v>16480</v>
      </c>
    </row>
    <row r="204" spans="1:10" s="32" customFormat="1" ht="16.5" x14ac:dyDescent="0.3">
      <c r="A204" s="31"/>
      <c r="B204" s="13" t="s">
        <v>369</v>
      </c>
      <c r="C204" s="14" t="s">
        <v>370</v>
      </c>
      <c r="D204" s="15" t="s">
        <v>371</v>
      </c>
      <c r="E204" s="15" t="s">
        <v>290</v>
      </c>
      <c r="F204" s="16" t="s">
        <v>372</v>
      </c>
      <c r="G204" s="16" t="s">
        <v>373</v>
      </c>
      <c r="H204" s="16" t="s">
        <v>73</v>
      </c>
      <c r="I204" s="16" t="s">
        <v>28</v>
      </c>
      <c r="J204" s="17">
        <v>3992</v>
      </c>
    </row>
    <row r="205" spans="1:10" s="32" customFormat="1" ht="16.5" x14ac:dyDescent="0.3">
      <c r="A205" s="31"/>
      <c r="B205" s="13" t="s">
        <v>374</v>
      </c>
      <c r="C205" s="14" t="s">
        <v>370</v>
      </c>
      <c r="D205" s="15" t="s">
        <v>371</v>
      </c>
      <c r="E205" s="15" t="s">
        <v>290</v>
      </c>
      <c r="F205" s="16" t="s">
        <v>375</v>
      </c>
      <c r="G205" s="16" t="s">
        <v>376</v>
      </c>
      <c r="H205" s="16" t="s">
        <v>73</v>
      </c>
      <c r="I205" s="16" t="s">
        <v>28</v>
      </c>
      <c r="J205" s="17">
        <v>5438</v>
      </c>
    </row>
    <row r="206" spans="1:10" s="32" customFormat="1" ht="30" x14ac:dyDescent="0.3">
      <c r="A206" s="31"/>
      <c r="B206" s="13" t="s">
        <v>377</v>
      </c>
      <c r="C206" s="14" t="s">
        <v>378</v>
      </c>
      <c r="D206" s="15" t="s">
        <v>379</v>
      </c>
      <c r="E206" s="15" t="s">
        <v>290</v>
      </c>
      <c r="F206" s="16" t="s">
        <v>380</v>
      </c>
      <c r="G206" s="16" t="s">
        <v>381</v>
      </c>
      <c r="H206" s="16" t="s">
        <v>73</v>
      </c>
      <c r="I206" s="16" t="s">
        <v>41</v>
      </c>
      <c r="J206" s="17">
        <v>21000</v>
      </c>
    </row>
    <row r="207" spans="1:10" s="32" customFormat="1" ht="30" x14ac:dyDescent="0.3">
      <c r="A207" s="31"/>
      <c r="B207" s="13" t="s">
        <v>382</v>
      </c>
      <c r="C207" s="14" t="s">
        <v>383</v>
      </c>
      <c r="D207" s="15" t="s">
        <v>384</v>
      </c>
      <c r="E207" s="15" t="s">
        <v>290</v>
      </c>
      <c r="F207" s="16" t="s">
        <v>385</v>
      </c>
      <c r="G207" s="16" t="s">
        <v>386</v>
      </c>
      <c r="H207" s="16" t="s">
        <v>73</v>
      </c>
      <c r="I207" s="16" t="s">
        <v>101</v>
      </c>
      <c r="J207" s="17">
        <v>5090</v>
      </c>
    </row>
    <row r="208" spans="1:10" s="32" customFormat="1" ht="30" x14ac:dyDescent="0.3">
      <c r="A208" s="31"/>
      <c r="B208" s="13" t="s">
        <v>387</v>
      </c>
      <c r="C208" s="14" t="s">
        <v>388</v>
      </c>
      <c r="D208" s="15" t="s">
        <v>389</v>
      </c>
      <c r="E208" s="15" t="s">
        <v>290</v>
      </c>
      <c r="F208" s="16" t="s">
        <v>390</v>
      </c>
      <c r="G208" s="16" t="s">
        <v>391</v>
      </c>
      <c r="H208" s="16" t="s">
        <v>34</v>
      </c>
      <c r="I208" s="16" t="s">
        <v>41</v>
      </c>
      <c r="J208" s="17">
        <v>2280</v>
      </c>
    </row>
    <row r="209" spans="1:10" s="32" customFormat="1" ht="30" x14ac:dyDescent="0.3">
      <c r="A209" s="31"/>
      <c r="B209" s="24">
        <v>12165</v>
      </c>
      <c r="C209" s="25" t="s">
        <v>388</v>
      </c>
      <c r="D209" s="25" t="s">
        <v>389</v>
      </c>
      <c r="E209" s="26" t="s">
        <v>290</v>
      </c>
      <c r="F209" s="28" t="s">
        <v>390</v>
      </c>
      <c r="G209" s="28" t="s">
        <v>391</v>
      </c>
      <c r="H209" s="27" t="s">
        <v>34</v>
      </c>
      <c r="I209" s="27" t="s">
        <v>41</v>
      </c>
      <c r="J209" s="17">
        <v>5000</v>
      </c>
    </row>
    <row r="210" spans="1:10" s="32" customFormat="1" ht="30" x14ac:dyDescent="0.3">
      <c r="A210" s="31"/>
      <c r="B210" s="33" t="s">
        <v>392</v>
      </c>
      <c r="C210" s="19" t="s">
        <v>393</v>
      </c>
      <c r="D210" s="21" t="s">
        <v>389</v>
      </c>
      <c r="E210" s="21" t="s">
        <v>290</v>
      </c>
      <c r="F210" s="21" t="s">
        <v>394</v>
      </c>
      <c r="G210" s="21" t="s">
        <v>395</v>
      </c>
      <c r="H210" s="21" t="s">
        <v>34</v>
      </c>
      <c r="I210" s="21" t="s">
        <v>41</v>
      </c>
      <c r="J210" s="22">
        <v>2496</v>
      </c>
    </row>
    <row r="211" spans="1:10" x14ac:dyDescent="0.25">
      <c r="B211" s="6" t="s">
        <v>396</v>
      </c>
      <c r="C211" s="6"/>
      <c r="D211" s="6"/>
      <c r="E211" s="6"/>
      <c r="F211" s="6"/>
      <c r="G211" s="6"/>
      <c r="H211" s="7" t="s">
        <v>3</v>
      </c>
      <c r="I211" s="7"/>
      <c r="J211" s="8">
        <f>SUM(J214:J349)</f>
        <v>11515717.135000002</v>
      </c>
    </row>
    <row r="212" spans="1:10" x14ac:dyDescent="0.25">
      <c r="B212" s="6"/>
      <c r="C212" s="6"/>
      <c r="D212" s="6"/>
      <c r="E212" s="6"/>
      <c r="F212" s="6"/>
      <c r="G212" s="6"/>
      <c r="H212" s="7"/>
      <c r="I212" s="7"/>
      <c r="J212" s="9"/>
    </row>
    <row r="213" spans="1:10" ht="29.25" x14ac:dyDescent="0.25">
      <c r="B213" s="10" t="s">
        <v>4</v>
      </c>
      <c r="C213" s="10" t="s">
        <v>5</v>
      </c>
      <c r="D213" s="10" t="s">
        <v>6</v>
      </c>
      <c r="E213" s="10" t="s">
        <v>7</v>
      </c>
      <c r="F213" s="10" t="s">
        <v>8</v>
      </c>
      <c r="G213" s="10" t="s">
        <v>9</v>
      </c>
      <c r="H213" s="10" t="s">
        <v>10</v>
      </c>
      <c r="I213" s="10" t="s">
        <v>11</v>
      </c>
      <c r="J213" s="11" t="s">
        <v>12</v>
      </c>
    </row>
    <row r="214" spans="1:10" x14ac:dyDescent="0.25">
      <c r="B214" s="13" t="s">
        <v>22</v>
      </c>
      <c r="C214" s="14" t="s">
        <v>397</v>
      </c>
      <c r="D214" s="15" t="s">
        <v>398</v>
      </c>
      <c r="E214" s="15" t="s">
        <v>399</v>
      </c>
      <c r="F214" s="16" t="s">
        <v>22</v>
      </c>
      <c r="G214" s="16" t="s">
        <v>26</v>
      </c>
      <c r="H214" s="16" t="s">
        <v>27</v>
      </c>
      <c r="I214" s="16" t="s">
        <v>28</v>
      </c>
      <c r="J214" s="17">
        <v>861</v>
      </c>
    </row>
    <row r="215" spans="1:10" x14ac:dyDescent="0.25">
      <c r="B215" s="13" t="s">
        <v>22</v>
      </c>
      <c r="C215" s="14" t="s">
        <v>397</v>
      </c>
      <c r="D215" s="15" t="s">
        <v>398</v>
      </c>
      <c r="E215" s="15" t="s">
        <v>399</v>
      </c>
      <c r="F215" s="16" t="s">
        <v>22</v>
      </c>
      <c r="G215" s="16" t="s">
        <v>29</v>
      </c>
      <c r="H215" s="16" t="s">
        <v>27</v>
      </c>
      <c r="I215" s="16" t="s">
        <v>28</v>
      </c>
      <c r="J215" s="17">
        <v>1000</v>
      </c>
    </row>
    <row r="216" spans="1:10" x14ac:dyDescent="0.25">
      <c r="B216" s="13" t="s">
        <v>400</v>
      </c>
      <c r="C216" s="14" t="s">
        <v>401</v>
      </c>
      <c r="D216" s="15" t="s">
        <v>398</v>
      </c>
      <c r="E216" s="15" t="s">
        <v>399</v>
      </c>
      <c r="F216" s="16" t="s">
        <v>402</v>
      </c>
      <c r="G216" s="16" t="s">
        <v>403</v>
      </c>
      <c r="H216" s="16" t="s">
        <v>73</v>
      </c>
      <c r="I216" s="16" t="s">
        <v>101</v>
      </c>
      <c r="J216" s="17">
        <v>1000</v>
      </c>
    </row>
    <row r="217" spans="1:10" x14ac:dyDescent="0.25">
      <c r="B217" s="13" t="s">
        <v>404</v>
      </c>
      <c r="C217" s="14" t="s">
        <v>405</v>
      </c>
      <c r="D217" s="15" t="s">
        <v>398</v>
      </c>
      <c r="E217" s="15" t="s">
        <v>399</v>
      </c>
      <c r="F217" s="16" t="s">
        <v>406</v>
      </c>
      <c r="G217" s="16" t="s">
        <v>407</v>
      </c>
      <c r="H217" s="16" t="s">
        <v>73</v>
      </c>
      <c r="I217" s="16" t="s">
        <v>101</v>
      </c>
      <c r="J217" s="17">
        <v>1800</v>
      </c>
    </row>
    <row r="218" spans="1:10" x14ac:dyDescent="0.25">
      <c r="B218" s="13" t="s">
        <v>22</v>
      </c>
      <c r="C218" s="14" t="s">
        <v>397</v>
      </c>
      <c r="D218" s="15" t="s">
        <v>398</v>
      </c>
      <c r="E218" s="15" t="s">
        <v>399</v>
      </c>
      <c r="F218" s="16" t="s">
        <v>22</v>
      </c>
      <c r="G218" s="16" t="s">
        <v>30</v>
      </c>
      <c r="H218" s="16" t="s">
        <v>27</v>
      </c>
      <c r="I218" s="16" t="s">
        <v>28</v>
      </c>
      <c r="J218" s="17">
        <v>3373</v>
      </c>
    </row>
    <row r="219" spans="1:10" ht="29.25" x14ac:dyDescent="0.25">
      <c r="B219" s="13" t="s">
        <v>408</v>
      </c>
      <c r="C219" s="14" t="s">
        <v>409</v>
      </c>
      <c r="D219" s="15" t="s">
        <v>398</v>
      </c>
      <c r="E219" s="15" t="s">
        <v>399</v>
      </c>
      <c r="F219" s="16" t="s">
        <v>410</v>
      </c>
      <c r="G219" s="16" t="s">
        <v>411</v>
      </c>
      <c r="H219" s="16" t="s">
        <v>34</v>
      </c>
      <c r="I219" s="16" t="s">
        <v>101</v>
      </c>
      <c r="J219" s="17">
        <v>7500</v>
      </c>
    </row>
    <row r="220" spans="1:10" x14ac:dyDescent="0.25">
      <c r="B220" s="13" t="s">
        <v>412</v>
      </c>
      <c r="C220" s="14" t="s">
        <v>413</v>
      </c>
      <c r="D220" s="15" t="s">
        <v>398</v>
      </c>
      <c r="E220" s="15" t="s">
        <v>399</v>
      </c>
      <c r="F220" s="16" t="s">
        <v>356</v>
      </c>
      <c r="G220" s="16" t="s">
        <v>414</v>
      </c>
      <c r="H220" s="16" t="s">
        <v>320</v>
      </c>
      <c r="I220" s="16" t="s">
        <v>101</v>
      </c>
      <c r="J220" s="17">
        <v>10220</v>
      </c>
    </row>
    <row r="221" spans="1:10" ht="29.25" x14ac:dyDescent="0.25">
      <c r="B221" s="13" t="s">
        <v>415</v>
      </c>
      <c r="C221" s="14" t="s">
        <v>416</v>
      </c>
      <c r="D221" s="15" t="s">
        <v>398</v>
      </c>
      <c r="E221" s="15" t="s">
        <v>399</v>
      </c>
      <c r="F221" s="16" t="s">
        <v>417</v>
      </c>
      <c r="G221" s="16" t="s">
        <v>418</v>
      </c>
      <c r="H221" s="16" t="s">
        <v>34</v>
      </c>
      <c r="I221" s="16" t="s">
        <v>28</v>
      </c>
      <c r="J221" s="17">
        <f>129161.51*10%</f>
        <v>12916.151</v>
      </c>
    </row>
    <row r="222" spans="1:10" ht="29.25" x14ac:dyDescent="0.25">
      <c r="B222" s="13" t="s">
        <v>419</v>
      </c>
      <c r="C222" s="14" t="s">
        <v>397</v>
      </c>
      <c r="D222" s="15" t="s">
        <v>398</v>
      </c>
      <c r="E222" s="15" t="s">
        <v>399</v>
      </c>
      <c r="F222" s="16" t="s">
        <v>420</v>
      </c>
      <c r="G222" s="16" t="s">
        <v>421</v>
      </c>
      <c r="H222" s="16" t="s">
        <v>88</v>
      </c>
      <c r="I222" s="16" t="s">
        <v>101</v>
      </c>
      <c r="J222" s="17">
        <v>14835</v>
      </c>
    </row>
    <row r="223" spans="1:10" ht="43.5" x14ac:dyDescent="0.25">
      <c r="B223" s="13" t="s">
        <v>422</v>
      </c>
      <c r="C223" s="14" t="s">
        <v>397</v>
      </c>
      <c r="D223" s="15" t="s">
        <v>398</v>
      </c>
      <c r="E223" s="15" t="s">
        <v>399</v>
      </c>
      <c r="F223" s="16" t="s">
        <v>420</v>
      </c>
      <c r="G223" s="16" t="s">
        <v>423</v>
      </c>
      <c r="H223" s="16" t="s">
        <v>88</v>
      </c>
      <c r="I223" s="16" t="s">
        <v>28</v>
      </c>
      <c r="J223" s="17">
        <v>15000</v>
      </c>
    </row>
    <row r="224" spans="1:10" ht="43.5" x14ac:dyDescent="0.25">
      <c r="B224" s="13" t="s">
        <v>424</v>
      </c>
      <c r="C224" s="14" t="s">
        <v>397</v>
      </c>
      <c r="D224" s="15" t="s">
        <v>398</v>
      </c>
      <c r="E224" s="15" t="s">
        <v>399</v>
      </c>
      <c r="F224" s="16" t="s">
        <v>420</v>
      </c>
      <c r="G224" s="16" t="s">
        <v>425</v>
      </c>
      <c r="H224" s="16" t="s">
        <v>88</v>
      </c>
      <c r="I224" s="16" t="s">
        <v>28</v>
      </c>
      <c r="J224" s="17">
        <v>15000</v>
      </c>
    </row>
    <row r="225" spans="2:10" ht="29.25" x14ac:dyDescent="0.25">
      <c r="B225" s="35" t="s">
        <v>426</v>
      </c>
      <c r="C225" s="14" t="s">
        <v>409</v>
      </c>
      <c r="D225" s="36" t="s">
        <v>398</v>
      </c>
      <c r="E225" s="36" t="s">
        <v>399</v>
      </c>
      <c r="F225" s="16" t="s">
        <v>427</v>
      </c>
      <c r="G225" s="16" t="s">
        <v>428</v>
      </c>
      <c r="H225" s="16" t="s">
        <v>19</v>
      </c>
      <c r="I225" s="16" t="s">
        <v>101</v>
      </c>
      <c r="J225" s="17">
        <v>21696</v>
      </c>
    </row>
    <row r="226" spans="2:10" ht="29.25" x14ac:dyDescent="0.25">
      <c r="B226" s="13" t="s">
        <v>429</v>
      </c>
      <c r="C226" s="14" t="s">
        <v>405</v>
      </c>
      <c r="D226" s="15" t="s">
        <v>398</v>
      </c>
      <c r="E226" s="15" t="s">
        <v>399</v>
      </c>
      <c r="F226" s="16" t="s">
        <v>430</v>
      </c>
      <c r="G226" s="16" t="s">
        <v>431</v>
      </c>
      <c r="H226" s="16" t="s">
        <v>73</v>
      </c>
      <c r="I226" s="16" t="s">
        <v>101</v>
      </c>
      <c r="J226" s="17">
        <v>25000</v>
      </c>
    </row>
    <row r="227" spans="2:10" x14ac:dyDescent="0.25">
      <c r="B227" s="13" t="s">
        <v>432</v>
      </c>
      <c r="C227" s="14" t="s">
        <v>433</v>
      </c>
      <c r="D227" s="15" t="s">
        <v>398</v>
      </c>
      <c r="E227" s="15" t="s">
        <v>399</v>
      </c>
      <c r="F227" s="16" t="s">
        <v>434</v>
      </c>
      <c r="G227" s="16" t="s">
        <v>435</v>
      </c>
      <c r="H227" s="16" t="s">
        <v>88</v>
      </c>
      <c r="I227" s="16" t="s">
        <v>28</v>
      </c>
      <c r="J227" s="17">
        <v>28742</v>
      </c>
    </row>
    <row r="228" spans="2:10" ht="29.25" x14ac:dyDescent="0.25">
      <c r="B228" s="13" t="s">
        <v>436</v>
      </c>
      <c r="C228" s="14" t="s">
        <v>437</v>
      </c>
      <c r="D228" s="15" t="s">
        <v>398</v>
      </c>
      <c r="E228" s="15" t="s">
        <v>399</v>
      </c>
      <c r="F228" s="16" t="s">
        <v>438</v>
      </c>
      <c r="G228" s="16" t="s">
        <v>439</v>
      </c>
      <c r="H228" s="16" t="s">
        <v>19</v>
      </c>
      <c r="I228" s="16" t="s">
        <v>101</v>
      </c>
      <c r="J228" s="17">
        <v>33687</v>
      </c>
    </row>
    <row r="229" spans="2:10" ht="29.25" x14ac:dyDescent="0.25">
      <c r="B229" s="13" t="s">
        <v>440</v>
      </c>
      <c r="C229" s="14" t="s">
        <v>433</v>
      </c>
      <c r="D229" s="15" t="s">
        <v>398</v>
      </c>
      <c r="E229" s="15" t="s">
        <v>399</v>
      </c>
      <c r="F229" s="16" t="s">
        <v>441</v>
      </c>
      <c r="G229" s="16" t="s">
        <v>442</v>
      </c>
      <c r="H229" s="16" t="s">
        <v>34</v>
      </c>
      <c r="I229" s="16" t="s">
        <v>101</v>
      </c>
      <c r="J229" s="17">
        <v>39950</v>
      </c>
    </row>
    <row r="230" spans="2:10" ht="29.25" x14ac:dyDescent="0.25">
      <c r="B230" s="13" t="s">
        <v>443</v>
      </c>
      <c r="C230" s="14" t="s">
        <v>433</v>
      </c>
      <c r="D230" s="15" t="s">
        <v>398</v>
      </c>
      <c r="E230" s="15" t="s">
        <v>399</v>
      </c>
      <c r="F230" s="16" t="s">
        <v>444</v>
      </c>
      <c r="G230" s="16" t="s">
        <v>445</v>
      </c>
      <c r="H230" s="16" t="s">
        <v>88</v>
      </c>
      <c r="I230" s="16" t="s">
        <v>101</v>
      </c>
      <c r="J230" s="17">
        <v>40946</v>
      </c>
    </row>
    <row r="231" spans="2:10" x14ac:dyDescent="0.25">
      <c r="B231" s="13" t="s">
        <v>446</v>
      </c>
      <c r="C231" s="14" t="s">
        <v>416</v>
      </c>
      <c r="D231" s="15" t="s">
        <v>398</v>
      </c>
      <c r="E231" s="15" t="s">
        <v>399</v>
      </c>
      <c r="F231" s="16" t="s">
        <v>343</v>
      </c>
      <c r="G231" s="16" t="s">
        <v>447</v>
      </c>
      <c r="H231" s="16" t="s">
        <v>34</v>
      </c>
      <c r="I231" s="16" t="s">
        <v>101</v>
      </c>
      <c r="J231" s="17">
        <v>73500</v>
      </c>
    </row>
    <row r="232" spans="2:10" x14ac:dyDescent="0.25">
      <c r="B232" s="13" t="s">
        <v>448</v>
      </c>
      <c r="C232" s="14" t="s">
        <v>397</v>
      </c>
      <c r="D232" s="15" t="s">
        <v>398</v>
      </c>
      <c r="E232" s="15" t="s">
        <v>399</v>
      </c>
      <c r="F232" s="16" t="s">
        <v>410</v>
      </c>
      <c r="G232" s="16" t="s">
        <v>449</v>
      </c>
      <c r="H232" s="16" t="s">
        <v>34</v>
      </c>
      <c r="I232" s="16" t="s">
        <v>101</v>
      </c>
      <c r="J232" s="17">
        <f>250999*33%</f>
        <v>82829.67</v>
      </c>
    </row>
    <row r="233" spans="2:10" x14ac:dyDescent="0.25">
      <c r="B233" s="13" t="s">
        <v>448</v>
      </c>
      <c r="C233" s="14" t="s">
        <v>450</v>
      </c>
      <c r="D233" s="15" t="s">
        <v>398</v>
      </c>
      <c r="E233" s="15" t="s">
        <v>399</v>
      </c>
      <c r="F233" s="16" t="s">
        <v>410</v>
      </c>
      <c r="G233" s="16" t="s">
        <v>449</v>
      </c>
      <c r="H233" s="16" t="s">
        <v>34</v>
      </c>
      <c r="I233" s="16" t="s">
        <v>101</v>
      </c>
      <c r="J233" s="17">
        <f>250999*33%</f>
        <v>82829.67</v>
      </c>
    </row>
    <row r="234" spans="2:10" ht="29.25" x14ac:dyDescent="0.25">
      <c r="B234" s="13" t="s">
        <v>415</v>
      </c>
      <c r="C234" s="14" t="s">
        <v>451</v>
      </c>
      <c r="D234" s="15" t="s">
        <v>398</v>
      </c>
      <c r="E234" s="15" t="s">
        <v>399</v>
      </c>
      <c r="F234" s="16" t="s">
        <v>417</v>
      </c>
      <c r="G234" s="16" t="s">
        <v>418</v>
      </c>
      <c r="H234" s="16" t="s">
        <v>34</v>
      </c>
      <c r="I234" s="16" t="s">
        <v>28</v>
      </c>
      <c r="J234" s="17">
        <f>129161.51*90%</f>
        <v>116245.359</v>
      </c>
    </row>
    <row r="235" spans="2:10" x14ac:dyDescent="0.25">
      <c r="B235" s="13" t="s">
        <v>452</v>
      </c>
      <c r="C235" s="14" t="s">
        <v>453</v>
      </c>
      <c r="D235" s="15" t="s">
        <v>398</v>
      </c>
      <c r="E235" s="15" t="s">
        <v>399</v>
      </c>
      <c r="F235" s="16" t="s">
        <v>114</v>
      </c>
      <c r="G235" s="16" t="s">
        <v>454</v>
      </c>
      <c r="H235" s="16" t="s">
        <v>34</v>
      </c>
      <c r="I235" s="16" t="s">
        <v>41</v>
      </c>
      <c r="J235" s="17">
        <f>296221*50%</f>
        <v>148110.5</v>
      </c>
    </row>
    <row r="236" spans="2:10" ht="29.25" x14ac:dyDescent="0.25">
      <c r="B236" s="24">
        <v>12171</v>
      </c>
      <c r="C236" s="25" t="s">
        <v>397</v>
      </c>
      <c r="D236" s="25" t="s">
        <v>398</v>
      </c>
      <c r="E236" s="26" t="s">
        <v>399</v>
      </c>
      <c r="F236" s="28" t="s">
        <v>420</v>
      </c>
      <c r="G236" s="28" t="s">
        <v>455</v>
      </c>
      <c r="H236" s="27" t="s">
        <v>88</v>
      </c>
      <c r="I236" s="27" t="s">
        <v>101</v>
      </c>
      <c r="J236" s="17">
        <v>17007</v>
      </c>
    </row>
    <row r="237" spans="2:10" ht="29.25" x14ac:dyDescent="0.25">
      <c r="B237" s="24">
        <v>12182</v>
      </c>
      <c r="C237" s="25" t="s">
        <v>433</v>
      </c>
      <c r="D237" s="25" t="s">
        <v>398</v>
      </c>
      <c r="E237" s="25" t="s">
        <v>399</v>
      </c>
      <c r="F237" s="40" t="s">
        <v>456</v>
      </c>
      <c r="G237" s="41" t="s">
        <v>457</v>
      </c>
      <c r="H237" s="27" t="s">
        <v>19</v>
      </c>
      <c r="I237" s="27" t="s">
        <v>268</v>
      </c>
      <c r="J237" s="17">
        <v>12000</v>
      </c>
    </row>
    <row r="238" spans="2:10" x14ac:dyDescent="0.25">
      <c r="B238" s="18" t="s">
        <v>22</v>
      </c>
      <c r="C238" s="19" t="s">
        <v>397</v>
      </c>
      <c r="D238" s="20" t="s">
        <v>398</v>
      </c>
      <c r="E238" s="20" t="s">
        <v>399</v>
      </c>
      <c r="F238" s="21" t="s">
        <v>22</v>
      </c>
      <c r="G238" s="21" t="s">
        <v>35</v>
      </c>
      <c r="H238" s="21" t="s">
        <v>27</v>
      </c>
      <c r="I238" s="21" t="s">
        <v>28</v>
      </c>
      <c r="J238" s="22">
        <v>2250</v>
      </c>
    </row>
    <row r="239" spans="2:10" x14ac:dyDescent="0.25">
      <c r="B239" s="13" t="s">
        <v>22</v>
      </c>
      <c r="C239" s="14" t="s">
        <v>458</v>
      </c>
      <c r="D239" s="15" t="s">
        <v>459</v>
      </c>
      <c r="E239" s="15" t="s">
        <v>399</v>
      </c>
      <c r="F239" s="16" t="s">
        <v>22</v>
      </c>
      <c r="G239" s="16" t="s">
        <v>30</v>
      </c>
      <c r="H239" s="16" t="s">
        <v>27</v>
      </c>
      <c r="I239" s="16" t="s">
        <v>28</v>
      </c>
      <c r="J239" s="17">
        <v>535</v>
      </c>
    </row>
    <row r="240" spans="2:10" x14ac:dyDescent="0.25">
      <c r="B240" s="13" t="s">
        <v>22</v>
      </c>
      <c r="C240" s="14" t="s">
        <v>458</v>
      </c>
      <c r="D240" s="15" t="s">
        <v>459</v>
      </c>
      <c r="E240" s="15" t="s">
        <v>399</v>
      </c>
      <c r="F240" s="16" t="s">
        <v>22</v>
      </c>
      <c r="G240" s="16" t="s">
        <v>29</v>
      </c>
      <c r="H240" s="16" t="s">
        <v>27</v>
      </c>
      <c r="I240" s="16" t="s">
        <v>28</v>
      </c>
      <c r="J240" s="17">
        <v>2060</v>
      </c>
    </row>
    <row r="241" spans="2:10" x14ac:dyDescent="0.25">
      <c r="B241" s="13" t="s">
        <v>22</v>
      </c>
      <c r="C241" s="14" t="s">
        <v>458</v>
      </c>
      <c r="D241" s="15" t="s">
        <v>459</v>
      </c>
      <c r="E241" s="15" t="s">
        <v>399</v>
      </c>
      <c r="F241" s="16" t="s">
        <v>22</v>
      </c>
      <c r="G241" s="16" t="s">
        <v>26</v>
      </c>
      <c r="H241" s="16" t="s">
        <v>27</v>
      </c>
      <c r="I241" s="16" t="s">
        <v>28</v>
      </c>
      <c r="J241" s="17">
        <v>2703</v>
      </c>
    </row>
    <row r="242" spans="2:10" x14ac:dyDescent="0.25">
      <c r="B242" s="13" t="s">
        <v>460</v>
      </c>
      <c r="C242" s="14" t="s">
        <v>458</v>
      </c>
      <c r="D242" s="15" t="s">
        <v>459</v>
      </c>
      <c r="E242" s="15" t="s">
        <v>399</v>
      </c>
      <c r="F242" s="16" t="s">
        <v>461</v>
      </c>
      <c r="G242" s="16" t="s">
        <v>462</v>
      </c>
      <c r="H242" s="16" t="s">
        <v>73</v>
      </c>
      <c r="I242" s="16" t="s">
        <v>268</v>
      </c>
      <c r="J242" s="17">
        <v>11200</v>
      </c>
    </row>
    <row r="243" spans="2:10" x14ac:dyDescent="0.25">
      <c r="B243" s="13" t="s">
        <v>463</v>
      </c>
      <c r="C243" s="14" t="s">
        <v>458</v>
      </c>
      <c r="D243" s="15" t="s">
        <v>459</v>
      </c>
      <c r="E243" s="15" t="s">
        <v>399</v>
      </c>
      <c r="F243" s="16" t="s">
        <v>464</v>
      </c>
      <c r="G243" s="16" t="s">
        <v>465</v>
      </c>
      <c r="H243" s="16" t="s">
        <v>73</v>
      </c>
      <c r="I243" s="16" t="s">
        <v>41</v>
      </c>
      <c r="J243" s="17">
        <v>14800</v>
      </c>
    </row>
    <row r="244" spans="2:10" x14ac:dyDescent="0.25">
      <c r="B244" s="13" t="s">
        <v>466</v>
      </c>
      <c r="C244" s="14" t="s">
        <v>458</v>
      </c>
      <c r="D244" s="15" t="s">
        <v>459</v>
      </c>
      <c r="E244" s="15" t="s">
        <v>399</v>
      </c>
      <c r="F244" s="16" t="s">
        <v>464</v>
      </c>
      <c r="G244" s="16" t="s">
        <v>465</v>
      </c>
      <c r="H244" s="16" t="s">
        <v>73</v>
      </c>
      <c r="I244" s="16" t="s">
        <v>41</v>
      </c>
      <c r="J244" s="17">
        <v>15400</v>
      </c>
    </row>
    <row r="245" spans="2:10" ht="29.25" x14ac:dyDescent="0.25">
      <c r="B245" s="13" t="s">
        <v>467</v>
      </c>
      <c r="C245" s="14" t="s">
        <v>468</v>
      </c>
      <c r="D245" s="15" t="s">
        <v>459</v>
      </c>
      <c r="E245" s="15" t="s">
        <v>399</v>
      </c>
      <c r="F245" s="16" t="s">
        <v>469</v>
      </c>
      <c r="G245" s="16" t="s">
        <v>470</v>
      </c>
      <c r="H245" s="16" t="s">
        <v>34</v>
      </c>
      <c r="I245" s="16" t="s">
        <v>28</v>
      </c>
      <c r="J245" s="17">
        <v>22720</v>
      </c>
    </row>
    <row r="246" spans="2:10" ht="57.75" x14ac:dyDescent="0.25">
      <c r="B246" s="13" t="s">
        <v>471</v>
      </c>
      <c r="C246" s="14" t="s">
        <v>472</v>
      </c>
      <c r="D246" s="15" t="s">
        <v>459</v>
      </c>
      <c r="E246" s="15" t="s">
        <v>399</v>
      </c>
      <c r="F246" s="16" t="s">
        <v>473</v>
      </c>
      <c r="G246" s="16" t="s">
        <v>474</v>
      </c>
      <c r="H246" s="16" t="s">
        <v>34</v>
      </c>
      <c r="I246" s="16" t="s">
        <v>41</v>
      </c>
      <c r="J246" s="17">
        <v>30000</v>
      </c>
    </row>
    <row r="247" spans="2:10" ht="29.25" x14ac:dyDescent="0.25">
      <c r="B247" s="13" t="s">
        <v>475</v>
      </c>
      <c r="C247" s="14" t="s">
        <v>458</v>
      </c>
      <c r="D247" s="15" t="s">
        <v>459</v>
      </c>
      <c r="E247" s="15" t="s">
        <v>399</v>
      </c>
      <c r="F247" s="16" t="s">
        <v>476</v>
      </c>
      <c r="G247" s="16" t="s">
        <v>477</v>
      </c>
      <c r="H247" s="16" t="s">
        <v>34</v>
      </c>
      <c r="I247" s="16" t="s">
        <v>41</v>
      </c>
      <c r="J247" s="17">
        <v>82480</v>
      </c>
    </row>
    <row r="248" spans="2:10" ht="29.25" x14ac:dyDescent="0.25">
      <c r="B248" s="13" t="s">
        <v>475</v>
      </c>
      <c r="C248" s="14" t="s">
        <v>472</v>
      </c>
      <c r="D248" s="15" t="s">
        <v>459</v>
      </c>
      <c r="E248" s="15" t="s">
        <v>399</v>
      </c>
      <c r="F248" s="16" t="s">
        <v>476</v>
      </c>
      <c r="G248" s="16" t="s">
        <v>477</v>
      </c>
      <c r="H248" s="16" t="s">
        <v>34</v>
      </c>
      <c r="I248" s="16" t="s">
        <v>41</v>
      </c>
      <c r="J248" s="17">
        <v>123720</v>
      </c>
    </row>
    <row r="249" spans="2:10" x14ac:dyDescent="0.25">
      <c r="B249" s="18" t="s">
        <v>22</v>
      </c>
      <c r="C249" s="19" t="s">
        <v>458</v>
      </c>
      <c r="D249" s="20" t="s">
        <v>459</v>
      </c>
      <c r="E249" s="20" t="s">
        <v>399</v>
      </c>
      <c r="F249" s="21" t="s">
        <v>22</v>
      </c>
      <c r="G249" s="21" t="s">
        <v>35</v>
      </c>
      <c r="H249" s="21" t="s">
        <v>27</v>
      </c>
      <c r="I249" s="21" t="s">
        <v>28</v>
      </c>
      <c r="J249" s="22">
        <v>2185</v>
      </c>
    </row>
    <row r="250" spans="2:10" x14ac:dyDescent="0.25">
      <c r="B250" s="13" t="s">
        <v>190</v>
      </c>
      <c r="C250" s="14" t="s">
        <v>478</v>
      </c>
      <c r="D250" s="15" t="s">
        <v>479</v>
      </c>
      <c r="E250" s="15" t="s">
        <v>399</v>
      </c>
      <c r="F250" s="16" t="s">
        <v>192</v>
      </c>
      <c r="G250" s="16" t="s">
        <v>193</v>
      </c>
      <c r="H250" s="16" t="s">
        <v>34</v>
      </c>
      <c r="I250" s="16" t="s">
        <v>101</v>
      </c>
      <c r="J250" s="17">
        <f>300549*20%</f>
        <v>60109.8</v>
      </c>
    </row>
    <row r="251" spans="2:10" ht="43.5" x14ac:dyDescent="0.25">
      <c r="B251" s="13" t="s">
        <v>480</v>
      </c>
      <c r="C251" s="14" t="s">
        <v>481</v>
      </c>
      <c r="D251" s="15" t="s">
        <v>479</v>
      </c>
      <c r="E251" s="15" t="s">
        <v>399</v>
      </c>
      <c r="F251" s="16" t="s">
        <v>114</v>
      </c>
      <c r="G251" s="16" t="s">
        <v>482</v>
      </c>
      <c r="H251" s="16" t="s">
        <v>34</v>
      </c>
      <c r="I251" s="16" t="s">
        <v>101</v>
      </c>
      <c r="J251" s="17">
        <f>192475*40%</f>
        <v>76990</v>
      </c>
    </row>
    <row r="252" spans="2:10" ht="29.25" x14ac:dyDescent="0.25">
      <c r="B252" s="13" t="s">
        <v>198</v>
      </c>
      <c r="C252" s="14" t="s">
        <v>478</v>
      </c>
      <c r="D252" s="15" t="s">
        <v>479</v>
      </c>
      <c r="E252" s="15" t="s">
        <v>399</v>
      </c>
      <c r="F252" s="16" t="s">
        <v>114</v>
      </c>
      <c r="G252" s="16" t="s">
        <v>200</v>
      </c>
      <c r="H252" s="16" t="s">
        <v>34</v>
      </c>
      <c r="I252" s="16" t="s">
        <v>101</v>
      </c>
      <c r="J252" s="17">
        <f>448478*22%</f>
        <v>98665.16</v>
      </c>
    </row>
    <row r="253" spans="2:10" ht="29.25" x14ac:dyDescent="0.25">
      <c r="B253" s="13" t="s">
        <v>198</v>
      </c>
      <c r="C253" s="14" t="s">
        <v>483</v>
      </c>
      <c r="D253" s="15" t="s">
        <v>479</v>
      </c>
      <c r="E253" s="15" t="s">
        <v>399</v>
      </c>
      <c r="F253" s="16" t="s">
        <v>114</v>
      </c>
      <c r="G253" s="16" t="s">
        <v>200</v>
      </c>
      <c r="H253" s="16" t="s">
        <v>34</v>
      </c>
      <c r="I253" s="16" t="s">
        <v>101</v>
      </c>
      <c r="J253" s="17">
        <f>448478*23%</f>
        <v>103149.94</v>
      </c>
    </row>
    <row r="254" spans="2:10" ht="43.5" x14ac:dyDescent="0.25">
      <c r="B254" s="13" t="s">
        <v>194</v>
      </c>
      <c r="C254" s="14" t="s">
        <v>478</v>
      </c>
      <c r="D254" s="15" t="s">
        <v>479</v>
      </c>
      <c r="E254" s="15" t="s">
        <v>399</v>
      </c>
      <c r="F254" s="16" t="s">
        <v>114</v>
      </c>
      <c r="G254" s="16" t="s">
        <v>196</v>
      </c>
      <c r="H254" s="16" t="s">
        <v>34</v>
      </c>
      <c r="I254" s="16" t="s">
        <v>116</v>
      </c>
      <c r="J254" s="17">
        <f>413434*25%</f>
        <v>103358.5</v>
      </c>
    </row>
    <row r="255" spans="2:10" ht="43.5" x14ac:dyDescent="0.25">
      <c r="B255" s="13" t="s">
        <v>480</v>
      </c>
      <c r="C255" s="14" t="s">
        <v>478</v>
      </c>
      <c r="D255" s="15" t="s">
        <v>479</v>
      </c>
      <c r="E255" s="15" t="s">
        <v>399</v>
      </c>
      <c r="F255" s="16" t="s">
        <v>114</v>
      </c>
      <c r="G255" s="16" t="s">
        <v>482</v>
      </c>
      <c r="H255" s="16" t="s">
        <v>34</v>
      </c>
      <c r="I255" s="16" t="s">
        <v>101</v>
      </c>
      <c r="J255" s="17">
        <f>192475*60%</f>
        <v>115485</v>
      </c>
    </row>
    <row r="256" spans="2:10" ht="29.25" x14ac:dyDescent="0.25">
      <c r="B256" s="13" t="s">
        <v>484</v>
      </c>
      <c r="C256" s="14" t="s">
        <v>485</v>
      </c>
      <c r="D256" s="15" t="s">
        <v>479</v>
      </c>
      <c r="E256" s="15" t="s">
        <v>399</v>
      </c>
      <c r="F256" s="16" t="s">
        <v>114</v>
      </c>
      <c r="G256" s="16" t="s">
        <v>486</v>
      </c>
      <c r="H256" s="16" t="s">
        <v>34</v>
      </c>
      <c r="I256" s="16" t="s">
        <v>41</v>
      </c>
      <c r="J256" s="17">
        <f>999658*12.5%</f>
        <v>124957.25</v>
      </c>
    </row>
    <row r="257" spans="2:10" ht="29.25" x14ac:dyDescent="0.25">
      <c r="B257" s="13" t="s">
        <v>484</v>
      </c>
      <c r="C257" s="14" t="s">
        <v>487</v>
      </c>
      <c r="D257" s="15" t="s">
        <v>479</v>
      </c>
      <c r="E257" s="15" t="s">
        <v>399</v>
      </c>
      <c r="F257" s="16" t="s">
        <v>114</v>
      </c>
      <c r="G257" s="16" t="s">
        <v>486</v>
      </c>
      <c r="H257" s="16" t="s">
        <v>34</v>
      </c>
      <c r="I257" s="16" t="s">
        <v>41</v>
      </c>
      <c r="J257" s="17">
        <f>999658*12.5%</f>
        <v>124957.25</v>
      </c>
    </row>
    <row r="258" spans="2:10" x14ac:dyDescent="0.25">
      <c r="B258" s="13" t="s">
        <v>488</v>
      </c>
      <c r="C258" s="14" t="s">
        <v>489</v>
      </c>
      <c r="D258" s="15" t="s">
        <v>479</v>
      </c>
      <c r="E258" s="15" t="s">
        <v>399</v>
      </c>
      <c r="F258" s="16" t="s">
        <v>490</v>
      </c>
      <c r="G258" s="16" t="s">
        <v>491</v>
      </c>
      <c r="H258" s="16" t="s">
        <v>73</v>
      </c>
      <c r="I258" s="16" t="s">
        <v>101</v>
      </c>
      <c r="J258" s="17">
        <v>143000</v>
      </c>
    </row>
    <row r="259" spans="2:10" x14ac:dyDescent="0.25">
      <c r="B259" s="13" t="s">
        <v>452</v>
      </c>
      <c r="C259" s="14" t="s">
        <v>487</v>
      </c>
      <c r="D259" s="15" t="s">
        <v>479</v>
      </c>
      <c r="E259" s="15" t="s">
        <v>399</v>
      </c>
      <c r="F259" s="16" t="s">
        <v>114</v>
      </c>
      <c r="G259" s="16" t="s">
        <v>454</v>
      </c>
      <c r="H259" s="16" t="s">
        <v>34</v>
      </c>
      <c r="I259" s="16" t="s">
        <v>41</v>
      </c>
      <c r="J259" s="17">
        <f>296221*50%</f>
        <v>148110.5</v>
      </c>
    </row>
    <row r="260" spans="2:10" ht="29.25" x14ac:dyDescent="0.25">
      <c r="B260" s="13" t="s">
        <v>492</v>
      </c>
      <c r="C260" s="14" t="s">
        <v>493</v>
      </c>
      <c r="D260" s="15" t="s">
        <v>479</v>
      </c>
      <c r="E260" s="15" t="s">
        <v>399</v>
      </c>
      <c r="F260" s="16" t="s">
        <v>114</v>
      </c>
      <c r="G260" s="16" t="s">
        <v>494</v>
      </c>
      <c r="H260" s="16" t="s">
        <v>34</v>
      </c>
      <c r="I260" s="16" t="s">
        <v>101</v>
      </c>
      <c r="J260" s="17">
        <v>208669</v>
      </c>
    </row>
    <row r="261" spans="2:10" ht="29.25" x14ac:dyDescent="0.25">
      <c r="B261" s="13" t="s">
        <v>495</v>
      </c>
      <c r="C261" s="14" t="s">
        <v>493</v>
      </c>
      <c r="D261" s="15" t="s">
        <v>479</v>
      </c>
      <c r="E261" s="15" t="s">
        <v>399</v>
      </c>
      <c r="F261" s="16" t="s">
        <v>114</v>
      </c>
      <c r="G261" s="16" t="s">
        <v>494</v>
      </c>
      <c r="H261" s="16" t="s">
        <v>34</v>
      </c>
      <c r="I261" s="16" t="s">
        <v>101</v>
      </c>
      <c r="J261" s="17">
        <v>224924</v>
      </c>
    </row>
    <row r="262" spans="2:10" ht="29.25" x14ac:dyDescent="0.25">
      <c r="B262" s="13" t="s">
        <v>496</v>
      </c>
      <c r="C262" s="14" t="s">
        <v>497</v>
      </c>
      <c r="D262" s="15" t="s">
        <v>479</v>
      </c>
      <c r="E262" s="15" t="s">
        <v>399</v>
      </c>
      <c r="F262" s="16" t="s">
        <v>114</v>
      </c>
      <c r="G262" s="16" t="s">
        <v>498</v>
      </c>
      <c r="H262" s="16" t="s">
        <v>34</v>
      </c>
      <c r="I262" s="16" t="s">
        <v>101</v>
      </c>
      <c r="J262" s="17">
        <v>364954</v>
      </c>
    </row>
    <row r="263" spans="2:10" ht="43.5" x14ac:dyDescent="0.25">
      <c r="B263" s="24">
        <v>12186</v>
      </c>
      <c r="C263" s="25" t="s">
        <v>499</v>
      </c>
      <c r="D263" s="25" t="s">
        <v>479</v>
      </c>
      <c r="E263" s="25" t="s">
        <v>399</v>
      </c>
      <c r="F263" s="40" t="s">
        <v>114</v>
      </c>
      <c r="G263" s="41" t="s">
        <v>500</v>
      </c>
      <c r="H263" s="27" t="s">
        <v>34</v>
      </c>
      <c r="I263" s="27" t="s">
        <v>41</v>
      </c>
      <c r="J263" s="17">
        <v>99215</v>
      </c>
    </row>
    <row r="264" spans="2:10" ht="43.5" x14ac:dyDescent="0.25">
      <c r="B264" s="24">
        <v>12186</v>
      </c>
      <c r="C264" s="25" t="s">
        <v>485</v>
      </c>
      <c r="D264" s="25" t="s">
        <v>479</v>
      </c>
      <c r="E264" s="25" t="s">
        <v>399</v>
      </c>
      <c r="F264" s="40" t="s">
        <v>114</v>
      </c>
      <c r="G264" s="41" t="s">
        <v>500</v>
      </c>
      <c r="H264" s="27" t="s">
        <v>34</v>
      </c>
      <c r="I264" s="27" t="s">
        <v>41</v>
      </c>
      <c r="J264" s="17">
        <v>99215</v>
      </c>
    </row>
    <row r="265" spans="2:10" ht="29.25" x14ac:dyDescent="0.25">
      <c r="B265" s="13" t="s">
        <v>79</v>
      </c>
      <c r="C265" s="14" t="s">
        <v>501</v>
      </c>
      <c r="D265" s="15" t="s">
        <v>399</v>
      </c>
      <c r="E265" s="15" t="s">
        <v>399</v>
      </c>
      <c r="F265" s="16" t="s">
        <v>81</v>
      </c>
      <c r="G265" s="16" t="s">
        <v>82</v>
      </c>
      <c r="H265" s="16" t="s">
        <v>19</v>
      </c>
      <c r="I265" s="16" t="s">
        <v>83</v>
      </c>
      <c r="J265" s="17">
        <f>100000*50%</f>
        <v>50000</v>
      </c>
    </row>
    <row r="266" spans="2:10" ht="29.25" x14ac:dyDescent="0.25">
      <c r="B266" s="13" t="s">
        <v>160</v>
      </c>
      <c r="C266" s="14" t="s">
        <v>501</v>
      </c>
      <c r="D266" s="15" t="s">
        <v>399</v>
      </c>
      <c r="E266" s="15" t="s">
        <v>399</v>
      </c>
      <c r="F266" s="16" t="s">
        <v>161</v>
      </c>
      <c r="G266" s="16" t="s">
        <v>162</v>
      </c>
      <c r="H266" s="16" t="s">
        <v>34</v>
      </c>
      <c r="I266" s="16" t="s">
        <v>41</v>
      </c>
      <c r="J266" s="17">
        <f>192831.29*50%</f>
        <v>96415.645000000004</v>
      </c>
    </row>
    <row r="267" spans="2:10" x14ac:dyDescent="0.25">
      <c r="B267" s="13" t="s">
        <v>163</v>
      </c>
      <c r="C267" s="14" t="s">
        <v>501</v>
      </c>
      <c r="D267" s="15" t="s">
        <v>399</v>
      </c>
      <c r="E267" s="15" t="s">
        <v>399</v>
      </c>
      <c r="F267" s="16" t="s">
        <v>114</v>
      </c>
      <c r="G267" s="16" t="s">
        <v>162</v>
      </c>
      <c r="H267" s="16" t="s">
        <v>34</v>
      </c>
      <c r="I267" s="16" t="s">
        <v>41</v>
      </c>
      <c r="J267" s="17">
        <f>1497958*50%</f>
        <v>748979</v>
      </c>
    </row>
    <row r="268" spans="2:10" x14ac:dyDescent="0.25">
      <c r="B268" s="13" t="s">
        <v>22</v>
      </c>
      <c r="C268" s="14" t="s">
        <v>502</v>
      </c>
      <c r="D268" s="15" t="s">
        <v>503</v>
      </c>
      <c r="E268" s="15" t="s">
        <v>399</v>
      </c>
      <c r="F268" s="16" t="s">
        <v>22</v>
      </c>
      <c r="G268" s="16" t="s">
        <v>29</v>
      </c>
      <c r="H268" s="16" t="s">
        <v>27</v>
      </c>
      <c r="I268" s="16" t="s">
        <v>28</v>
      </c>
      <c r="J268" s="17">
        <v>880</v>
      </c>
    </row>
    <row r="269" spans="2:10" ht="29.25" x14ac:dyDescent="0.25">
      <c r="B269" s="13" t="s">
        <v>504</v>
      </c>
      <c r="C269" s="14" t="s">
        <v>505</v>
      </c>
      <c r="D269" s="15" t="s">
        <v>503</v>
      </c>
      <c r="E269" s="15" t="s">
        <v>399</v>
      </c>
      <c r="F269" s="16" t="s">
        <v>506</v>
      </c>
      <c r="G269" s="16" t="s">
        <v>507</v>
      </c>
      <c r="H269" s="16" t="s">
        <v>320</v>
      </c>
      <c r="I269" s="16" t="s">
        <v>28</v>
      </c>
      <c r="J269" s="17">
        <v>1000</v>
      </c>
    </row>
    <row r="270" spans="2:10" ht="29.25" x14ac:dyDescent="0.25">
      <c r="B270" s="13" t="s">
        <v>508</v>
      </c>
      <c r="C270" s="14" t="s">
        <v>502</v>
      </c>
      <c r="D270" s="15" t="s">
        <v>503</v>
      </c>
      <c r="E270" s="15" t="s">
        <v>399</v>
      </c>
      <c r="F270" s="16" t="s">
        <v>17</v>
      </c>
      <c r="G270" s="16" t="s">
        <v>509</v>
      </c>
      <c r="H270" s="16" t="s">
        <v>19</v>
      </c>
      <c r="I270" s="16" t="s">
        <v>101</v>
      </c>
      <c r="J270" s="17">
        <f>25000*5%</f>
        <v>1250</v>
      </c>
    </row>
    <row r="271" spans="2:10" x14ac:dyDescent="0.25">
      <c r="B271" s="13" t="s">
        <v>510</v>
      </c>
      <c r="C271" s="14" t="s">
        <v>511</v>
      </c>
      <c r="D271" s="15" t="s">
        <v>503</v>
      </c>
      <c r="E271" s="15" t="s">
        <v>399</v>
      </c>
      <c r="F271" s="16" t="s">
        <v>512</v>
      </c>
      <c r="G271" s="16" t="s">
        <v>513</v>
      </c>
      <c r="H271" s="16" t="s">
        <v>320</v>
      </c>
      <c r="I271" s="16" t="s">
        <v>28</v>
      </c>
      <c r="J271" s="17">
        <v>2865</v>
      </c>
    </row>
    <row r="272" spans="2:10" ht="29.25" x14ac:dyDescent="0.25">
      <c r="B272" s="13" t="s">
        <v>514</v>
      </c>
      <c r="C272" s="14" t="s">
        <v>502</v>
      </c>
      <c r="D272" s="15" t="s">
        <v>503</v>
      </c>
      <c r="E272" s="15" t="s">
        <v>399</v>
      </c>
      <c r="F272" s="16" t="s">
        <v>515</v>
      </c>
      <c r="G272" s="16" t="s">
        <v>516</v>
      </c>
      <c r="H272" s="16" t="s">
        <v>34</v>
      </c>
      <c r="I272" s="16" t="s">
        <v>28</v>
      </c>
      <c r="J272" s="17">
        <v>3330</v>
      </c>
    </row>
    <row r="273" spans="2:10" x14ac:dyDescent="0.25">
      <c r="B273" s="13" t="s">
        <v>517</v>
      </c>
      <c r="C273" s="14" t="s">
        <v>518</v>
      </c>
      <c r="D273" s="15" t="s">
        <v>503</v>
      </c>
      <c r="E273" s="15" t="s">
        <v>399</v>
      </c>
      <c r="F273" s="16" t="s">
        <v>512</v>
      </c>
      <c r="G273" s="16" t="s">
        <v>519</v>
      </c>
      <c r="H273" s="16" t="s">
        <v>320</v>
      </c>
      <c r="I273" s="16" t="s">
        <v>28</v>
      </c>
      <c r="J273" s="17">
        <v>3495</v>
      </c>
    </row>
    <row r="274" spans="2:10" ht="29.25" x14ac:dyDescent="0.25">
      <c r="B274" s="13" t="s">
        <v>520</v>
      </c>
      <c r="C274" s="14" t="s">
        <v>502</v>
      </c>
      <c r="D274" s="15" t="s">
        <v>503</v>
      </c>
      <c r="E274" s="15" t="s">
        <v>399</v>
      </c>
      <c r="F274" s="16" t="s">
        <v>521</v>
      </c>
      <c r="G274" s="16" t="s">
        <v>522</v>
      </c>
      <c r="H274" s="16" t="s">
        <v>19</v>
      </c>
      <c r="I274" s="16" t="s">
        <v>101</v>
      </c>
      <c r="J274" s="17">
        <v>4551</v>
      </c>
    </row>
    <row r="275" spans="2:10" x14ac:dyDescent="0.25">
      <c r="B275" s="13" t="s">
        <v>523</v>
      </c>
      <c r="C275" s="14" t="s">
        <v>505</v>
      </c>
      <c r="D275" s="15" t="s">
        <v>503</v>
      </c>
      <c r="E275" s="15" t="s">
        <v>399</v>
      </c>
      <c r="F275" s="16" t="s">
        <v>524</v>
      </c>
      <c r="G275" s="16" t="s">
        <v>525</v>
      </c>
      <c r="H275" s="16" t="s">
        <v>526</v>
      </c>
      <c r="I275" s="16" t="s">
        <v>28</v>
      </c>
      <c r="J275" s="17">
        <v>6000</v>
      </c>
    </row>
    <row r="276" spans="2:10" ht="29.25" x14ac:dyDescent="0.25">
      <c r="B276" s="13" t="s">
        <v>527</v>
      </c>
      <c r="C276" s="14" t="s">
        <v>518</v>
      </c>
      <c r="D276" s="15" t="s">
        <v>503</v>
      </c>
      <c r="E276" s="15" t="s">
        <v>399</v>
      </c>
      <c r="F276" s="16" t="s">
        <v>528</v>
      </c>
      <c r="G276" s="16" t="s">
        <v>529</v>
      </c>
      <c r="H276" s="16" t="s">
        <v>19</v>
      </c>
      <c r="I276" s="16" t="s">
        <v>28</v>
      </c>
      <c r="J276" s="17">
        <f>20000*50%</f>
        <v>10000</v>
      </c>
    </row>
    <row r="277" spans="2:10" ht="29.25" x14ac:dyDescent="0.25">
      <c r="B277" s="13" t="s">
        <v>527</v>
      </c>
      <c r="C277" s="14" t="s">
        <v>502</v>
      </c>
      <c r="D277" s="15" t="s">
        <v>503</v>
      </c>
      <c r="E277" s="15" t="s">
        <v>399</v>
      </c>
      <c r="F277" s="16" t="s">
        <v>528</v>
      </c>
      <c r="G277" s="16" t="s">
        <v>529</v>
      </c>
      <c r="H277" s="16" t="s">
        <v>19</v>
      </c>
      <c r="I277" s="16" t="s">
        <v>28</v>
      </c>
      <c r="J277" s="17">
        <f>20000*50%</f>
        <v>10000</v>
      </c>
    </row>
    <row r="278" spans="2:10" ht="29.25" x14ac:dyDescent="0.25">
      <c r="B278" s="13" t="s">
        <v>530</v>
      </c>
      <c r="C278" s="14" t="s">
        <v>502</v>
      </c>
      <c r="D278" s="15" t="s">
        <v>503</v>
      </c>
      <c r="E278" s="15" t="s">
        <v>399</v>
      </c>
      <c r="F278" s="16" t="s">
        <v>531</v>
      </c>
      <c r="G278" s="16" t="s">
        <v>532</v>
      </c>
      <c r="H278" s="16" t="s">
        <v>19</v>
      </c>
      <c r="I278" s="16" t="s">
        <v>101</v>
      </c>
      <c r="J278" s="17">
        <f>22000*50%</f>
        <v>11000</v>
      </c>
    </row>
    <row r="279" spans="2:10" ht="29.25" x14ac:dyDescent="0.25">
      <c r="B279" s="13" t="s">
        <v>530</v>
      </c>
      <c r="C279" s="14" t="s">
        <v>511</v>
      </c>
      <c r="D279" s="15" t="s">
        <v>503</v>
      </c>
      <c r="E279" s="15" t="s">
        <v>399</v>
      </c>
      <c r="F279" s="16" t="s">
        <v>531</v>
      </c>
      <c r="G279" s="16" t="s">
        <v>532</v>
      </c>
      <c r="H279" s="16" t="s">
        <v>19</v>
      </c>
      <c r="I279" s="16" t="s">
        <v>101</v>
      </c>
      <c r="J279" s="17">
        <f>22000*50%</f>
        <v>11000</v>
      </c>
    </row>
    <row r="280" spans="2:10" ht="29.25" x14ac:dyDescent="0.25">
      <c r="B280" s="13" t="s">
        <v>533</v>
      </c>
      <c r="C280" s="14" t="s">
        <v>511</v>
      </c>
      <c r="D280" s="15" t="s">
        <v>503</v>
      </c>
      <c r="E280" s="15" t="s">
        <v>399</v>
      </c>
      <c r="F280" s="16" t="s">
        <v>531</v>
      </c>
      <c r="G280" s="16" t="s">
        <v>534</v>
      </c>
      <c r="H280" s="16" t="s">
        <v>19</v>
      </c>
      <c r="I280" s="16" t="s">
        <v>101</v>
      </c>
      <c r="J280" s="17">
        <f>22000*50%</f>
        <v>11000</v>
      </c>
    </row>
    <row r="281" spans="2:10" ht="29.25" x14ac:dyDescent="0.25">
      <c r="B281" s="13" t="s">
        <v>533</v>
      </c>
      <c r="C281" s="14" t="s">
        <v>502</v>
      </c>
      <c r="D281" s="15" t="s">
        <v>503</v>
      </c>
      <c r="E281" s="15" t="s">
        <v>399</v>
      </c>
      <c r="F281" s="16" t="s">
        <v>531</v>
      </c>
      <c r="G281" s="16" t="s">
        <v>534</v>
      </c>
      <c r="H281" s="16" t="s">
        <v>19</v>
      </c>
      <c r="I281" s="16" t="s">
        <v>101</v>
      </c>
      <c r="J281" s="17">
        <f>22000*50%</f>
        <v>11000</v>
      </c>
    </row>
    <row r="282" spans="2:10" x14ac:dyDescent="0.25">
      <c r="B282" s="13" t="s">
        <v>535</v>
      </c>
      <c r="C282" s="14" t="s">
        <v>502</v>
      </c>
      <c r="D282" s="15" t="s">
        <v>503</v>
      </c>
      <c r="E282" s="15" t="s">
        <v>399</v>
      </c>
      <c r="F282" s="16" t="s">
        <v>528</v>
      </c>
      <c r="G282" s="16" t="s">
        <v>536</v>
      </c>
      <c r="H282" s="16" t="s">
        <v>19</v>
      </c>
      <c r="I282" s="16" t="s">
        <v>116</v>
      </c>
      <c r="J282" s="17">
        <v>15995</v>
      </c>
    </row>
    <row r="283" spans="2:10" ht="29.25" x14ac:dyDescent="0.25">
      <c r="B283" s="13" t="s">
        <v>508</v>
      </c>
      <c r="C283" s="14" t="s">
        <v>537</v>
      </c>
      <c r="D283" s="15" t="s">
        <v>503</v>
      </c>
      <c r="E283" s="15" t="s">
        <v>399</v>
      </c>
      <c r="F283" s="16" t="s">
        <v>17</v>
      </c>
      <c r="G283" s="16" t="s">
        <v>509</v>
      </c>
      <c r="H283" s="16" t="s">
        <v>19</v>
      </c>
      <c r="I283" s="16" t="s">
        <v>101</v>
      </c>
      <c r="J283" s="17">
        <f>25000*95%</f>
        <v>23750</v>
      </c>
    </row>
    <row r="284" spans="2:10" x14ac:dyDescent="0.25">
      <c r="B284" s="13" t="s">
        <v>22</v>
      </c>
      <c r="C284" s="14" t="s">
        <v>502</v>
      </c>
      <c r="D284" s="15" t="s">
        <v>503</v>
      </c>
      <c r="E284" s="15" t="s">
        <v>399</v>
      </c>
      <c r="F284" s="16" t="s">
        <v>22</v>
      </c>
      <c r="G284" s="16" t="s">
        <v>30</v>
      </c>
      <c r="H284" s="16" t="s">
        <v>27</v>
      </c>
      <c r="I284" s="16" t="s">
        <v>28</v>
      </c>
      <c r="J284" s="17">
        <v>26051</v>
      </c>
    </row>
    <row r="285" spans="2:10" ht="29.25" x14ac:dyDescent="0.25">
      <c r="B285" s="13" t="s">
        <v>514</v>
      </c>
      <c r="C285" s="14" t="s">
        <v>537</v>
      </c>
      <c r="D285" s="15" t="s">
        <v>503</v>
      </c>
      <c r="E285" s="15" t="s">
        <v>399</v>
      </c>
      <c r="F285" s="16" t="s">
        <v>515</v>
      </c>
      <c r="G285" s="16" t="s">
        <v>516</v>
      </c>
      <c r="H285" s="16" t="s">
        <v>34</v>
      </c>
      <c r="I285" s="16" t="s">
        <v>28</v>
      </c>
      <c r="J285" s="17">
        <v>63270</v>
      </c>
    </row>
    <row r="286" spans="2:10" x14ac:dyDescent="0.25">
      <c r="B286" s="13" t="s">
        <v>535</v>
      </c>
      <c r="C286" s="14" t="s">
        <v>518</v>
      </c>
      <c r="D286" s="15" t="s">
        <v>503</v>
      </c>
      <c r="E286" s="15" t="s">
        <v>399</v>
      </c>
      <c r="F286" s="16" t="s">
        <v>528</v>
      </c>
      <c r="G286" s="16" t="s">
        <v>536</v>
      </c>
      <c r="H286" s="16" t="s">
        <v>19</v>
      </c>
      <c r="I286" s="16" t="s">
        <v>116</v>
      </c>
      <c r="J286" s="17">
        <v>303906</v>
      </c>
    </row>
    <row r="287" spans="2:10" ht="29.25" x14ac:dyDescent="0.25">
      <c r="B287" s="13" t="s">
        <v>111</v>
      </c>
      <c r="C287" s="14" t="s">
        <v>216</v>
      </c>
      <c r="D287" s="15" t="s">
        <v>538</v>
      </c>
      <c r="E287" s="15" t="s">
        <v>399</v>
      </c>
      <c r="F287" s="16" t="s">
        <v>114</v>
      </c>
      <c r="G287" s="16" t="s">
        <v>115</v>
      </c>
      <c r="H287" s="16" t="s">
        <v>34</v>
      </c>
      <c r="I287" s="16" t="s">
        <v>116</v>
      </c>
      <c r="J287" s="17">
        <f>595650*20%</f>
        <v>119130</v>
      </c>
    </row>
    <row r="288" spans="2:10" ht="29.25" x14ac:dyDescent="0.25">
      <c r="B288" s="13" t="s">
        <v>484</v>
      </c>
      <c r="C288" s="14" t="s">
        <v>539</v>
      </c>
      <c r="D288" s="15" t="s">
        <v>538</v>
      </c>
      <c r="E288" s="15" t="s">
        <v>399</v>
      </c>
      <c r="F288" s="16" t="s">
        <v>114</v>
      </c>
      <c r="G288" s="16" t="s">
        <v>486</v>
      </c>
      <c r="H288" s="16" t="s">
        <v>34</v>
      </c>
      <c r="I288" s="16" t="s">
        <v>41</v>
      </c>
      <c r="J288" s="17">
        <f>999658*25%</f>
        <v>249914.5</v>
      </c>
    </row>
    <row r="289" spans="2:10" ht="29.25" x14ac:dyDescent="0.25">
      <c r="B289" s="13" t="s">
        <v>540</v>
      </c>
      <c r="C289" s="14" t="s">
        <v>539</v>
      </c>
      <c r="D289" s="15" t="s">
        <v>538</v>
      </c>
      <c r="E289" s="15" t="s">
        <v>399</v>
      </c>
      <c r="F289" s="16" t="s">
        <v>114</v>
      </c>
      <c r="G289" s="16" t="s">
        <v>541</v>
      </c>
      <c r="H289" s="16" t="s">
        <v>34</v>
      </c>
      <c r="I289" s="16" t="s">
        <v>83</v>
      </c>
      <c r="J289" s="17">
        <f>599888*20%</f>
        <v>119977.60000000001</v>
      </c>
    </row>
    <row r="290" spans="2:10" ht="29.25" x14ac:dyDescent="0.25">
      <c r="B290" s="13" t="s">
        <v>540</v>
      </c>
      <c r="C290" s="14" t="s">
        <v>542</v>
      </c>
      <c r="D290" s="15" t="s">
        <v>543</v>
      </c>
      <c r="E290" s="15" t="s">
        <v>399</v>
      </c>
      <c r="F290" s="16" t="s">
        <v>114</v>
      </c>
      <c r="G290" s="16" t="s">
        <v>541</v>
      </c>
      <c r="H290" s="16" t="s">
        <v>34</v>
      </c>
      <c r="I290" s="16" t="s">
        <v>83</v>
      </c>
      <c r="J290" s="17">
        <f>599888*80%</f>
        <v>479910.40000000002</v>
      </c>
    </row>
    <row r="291" spans="2:10" x14ac:dyDescent="0.25">
      <c r="B291" s="13" t="s">
        <v>544</v>
      </c>
      <c r="C291" s="14" t="s">
        <v>545</v>
      </c>
      <c r="D291" s="15" t="s">
        <v>546</v>
      </c>
      <c r="E291" s="15" t="s">
        <v>399</v>
      </c>
      <c r="F291" s="16" t="s">
        <v>356</v>
      </c>
      <c r="G291" s="16" t="s">
        <v>547</v>
      </c>
      <c r="H291" s="16" t="s">
        <v>320</v>
      </c>
      <c r="I291" s="16" t="s">
        <v>28</v>
      </c>
      <c r="J291" s="17">
        <v>500</v>
      </c>
    </row>
    <row r="292" spans="2:10" ht="29.25" x14ac:dyDescent="0.25">
      <c r="B292" s="13" t="s">
        <v>548</v>
      </c>
      <c r="C292" s="14" t="s">
        <v>545</v>
      </c>
      <c r="D292" s="15" t="s">
        <v>546</v>
      </c>
      <c r="E292" s="15" t="s">
        <v>399</v>
      </c>
      <c r="F292" s="16" t="s">
        <v>549</v>
      </c>
      <c r="G292" s="16" t="s">
        <v>550</v>
      </c>
      <c r="H292" s="16" t="s">
        <v>34</v>
      </c>
      <c r="I292" s="16" t="s">
        <v>101</v>
      </c>
      <c r="J292" s="17">
        <f>13953.87*5%</f>
        <v>697.69350000000009</v>
      </c>
    </row>
    <row r="293" spans="2:10" x14ac:dyDescent="0.25">
      <c r="B293" s="13" t="s">
        <v>342</v>
      </c>
      <c r="C293" s="14" t="s">
        <v>551</v>
      </c>
      <c r="D293" s="15" t="s">
        <v>546</v>
      </c>
      <c r="E293" s="15" t="s">
        <v>399</v>
      </c>
      <c r="F293" s="16" t="s">
        <v>343</v>
      </c>
      <c r="G293" s="16" t="s">
        <v>344</v>
      </c>
      <c r="H293" s="16" t="s">
        <v>34</v>
      </c>
      <c r="I293" s="16" t="s">
        <v>28</v>
      </c>
      <c r="J293" s="17">
        <f>72902*5%</f>
        <v>3645.1000000000004</v>
      </c>
    </row>
    <row r="294" spans="2:10" x14ac:dyDescent="0.25">
      <c r="B294" s="13" t="s">
        <v>544</v>
      </c>
      <c r="C294" s="14" t="s">
        <v>545</v>
      </c>
      <c r="D294" s="15" t="s">
        <v>546</v>
      </c>
      <c r="E294" s="15" t="s">
        <v>399</v>
      </c>
      <c r="F294" s="16" t="s">
        <v>356</v>
      </c>
      <c r="G294" s="16" t="s">
        <v>547</v>
      </c>
      <c r="H294" s="16" t="s">
        <v>320</v>
      </c>
      <c r="I294" s="16" t="s">
        <v>28</v>
      </c>
      <c r="J294" s="17">
        <v>4000</v>
      </c>
    </row>
    <row r="295" spans="2:10" ht="29.25" x14ac:dyDescent="0.25">
      <c r="B295" s="13" t="s">
        <v>548</v>
      </c>
      <c r="C295" s="14" t="s">
        <v>551</v>
      </c>
      <c r="D295" s="15" t="s">
        <v>546</v>
      </c>
      <c r="E295" s="15" t="s">
        <v>399</v>
      </c>
      <c r="F295" s="16" t="s">
        <v>549</v>
      </c>
      <c r="G295" s="16" t="s">
        <v>550</v>
      </c>
      <c r="H295" s="16" t="s">
        <v>34</v>
      </c>
      <c r="I295" s="16" t="s">
        <v>101</v>
      </c>
      <c r="J295" s="17">
        <f>13953.87*95%</f>
        <v>13256.1765</v>
      </c>
    </row>
    <row r="296" spans="2:10" ht="29.25" x14ac:dyDescent="0.25">
      <c r="B296" s="13" t="s">
        <v>552</v>
      </c>
      <c r="C296" s="14" t="s">
        <v>545</v>
      </c>
      <c r="D296" s="15" t="s">
        <v>546</v>
      </c>
      <c r="E296" s="15" t="s">
        <v>399</v>
      </c>
      <c r="F296" s="16" t="s">
        <v>553</v>
      </c>
      <c r="G296" s="16" t="s">
        <v>554</v>
      </c>
      <c r="H296" s="16" t="s">
        <v>88</v>
      </c>
      <c r="I296" s="16" t="s">
        <v>101</v>
      </c>
      <c r="J296" s="17">
        <v>28329</v>
      </c>
    </row>
    <row r="297" spans="2:10" ht="29.25" x14ac:dyDescent="0.25">
      <c r="B297" s="13" t="s">
        <v>555</v>
      </c>
      <c r="C297" s="14" t="s">
        <v>556</v>
      </c>
      <c r="D297" s="15" t="s">
        <v>546</v>
      </c>
      <c r="E297" s="15" t="s">
        <v>399</v>
      </c>
      <c r="F297" s="16" t="s">
        <v>557</v>
      </c>
      <c r="G297" s="16" t="s">
        <v>558</v>
      </c>
      <c r="H297" s="16" t="s">
        <v>34</v>
      </c>
      <c r="I297" s="16" t="s">
        <v>28</v>
      </c>
      <c r="J297" s="17">
        <v>29040</v>
      </c>
    </row>
    <row r="298" spans="2:10" ht="29.25" x14ac:dyDescent="0.25">
      <c r="B298" s="13" t="s">
        <v>555</v>
      </c>
      <c r="C298" s="14" t="s">
        <v>559</v>
      </c>
      <c r="D298" s="15" t="s">
        <v>546</v>
      </c>
      <c r="E298" s="15" t="s">
        <v>399</v>
      </c>
      <c r="F298" s="16" t="s">
        <v>557</v>
      </c>
      <c r="G298" s="16" t="s">
        <v>558</v>
      </c>
      <c r="H298" s="16" t="s">
        <v>34</v>
      </c>
      <c r="I298" s="16" t="s">
        <v>28</v>
      </c>
      <c r="J298" s="17">
        <v>29040</v>
      </c>
    </row>
    <row r="299" spans="2:10" ht="29.25" x14ac:dyDescent="0.25">
      <c r="B299" s="13" t="s">
        <v>555</v>
      </c>
      <c r="C299" s="14" t="s">
        <v>560</v>
      </c>
      <c r="D299" s="15" t="s">
        <v>546</v>
      </c>
      <c r="E299" s="15" t="s">
        <v>399</v>
      </c>
      <c r="F299" s="16" t="s">
        <v>557</v>
      </c>
      <c r="G299" s="16" t="s">
        <v>558</v>
      </c>
      <c r="H299" s="16" t="s">
        <v>34</v>
      </c>
      <c r="I299" s="16" t="s">
        <v>28</v>
      </c>
      <c r="J299" s="17">
        <v>29920</v>
      </c>
    </row>
    <row r="300" spans="2:10" ht="29.25" x14ac:dyDescent="0.25">
      <c r="B300" s="13" t="s">
        <v>561</v>
      </c>
      <c r="C300" s="14" t="s">
        <v>545</v>
      </c>
      <c r="D300" s="15" t="s">
        <v>546</v>
      </c>
      <c r="E300" s="15" t="s">
        <v>399</v>
      </c>
      <c r="F300" s="16" t="s">
        <v>114</v>
      </c>
      <c r="G300" s="16" t="s">
        <v>562</v>
      </c>
      <c r="H300" s="16" t="s">
        <v>34</v>
      </c>
      <c r="I300" s="16" t="s">
        <v>101</v>
      </c>
      <c r="J300" s="17">
        <v>112389</v>
      </c>
    </row>
    <row r="301" spans="2:10" ht="29.25" x14ac:dyDescent="0.25">
      <c r="B301" s="13" t="s">
        <v>111</v>
      </c>
      <c r="C301" s="14" t="s">
        <v>563</v>
      </c>
      <c r="D301" s="15" t="s">
        <v>546</v>
      </c>
      <c r="E301" s="15" t="s">
        <v>399</v>
      </c>
      <c r="F301" s="16" t="s">
        <v>114</v>
      </c>
      <c r="G301" s="16" t="s">
        <v>115</v>
      </c>
      <c r="H301" s="16" t="s">
        <v>34</v>
      </c>
      <c r="I301" s="16" t="s">
        <v>116</v>
      </c>
      <c r="J301" s="17">
        <f>595650*20%</f>
        <v>119130</v>
      </c>
    </row>
    <row r="302" spans="2:10" ht="29.25" x14ac:dyDescent="0.25">
      <c r="B302" s="13" t="s">
        <v>136</v>
      </c>
      <c r="C302" s="14" t="s">
        <v>564</v>
      </c>
      <c r="D302" s="15" t="s">
        <v>546</v>
      </c>
      <c r="E302" s="15" t="s">
        <v>399</v>
      </c>
      <c r="F302" s="16" t="s">
        <v>81</v>
      </c>
      <c r="G302" s="16" t="s">
        <v>138</v>
      </c>
      <c r="H302" s="16" t="s">
        <v>19</v>
      </c>
      <c r="I302" s="16" t="s">
        <v>41</v>
      </c>
      <c r="J302" s="17">
        <f>486425*25%</f>
        <v>121606.25</v>
      </c>
    </row>
    <row r="303" spans="2:10" ht="43.5" x14ac:dyDescent="0.25">
      <c r="B303" s="13" t="s">
        <v>565</v>
      </c>
      <c r="C303" s="14" t="s">
        <v>545</v>
      </c>
      <c r="D303" s="15" t="s">
        <v>546</v>
      </c>
      <c r="E303" s="15" t="s">
        <v>399</v>
      </c>
      <c r="F303" s="16" t="s">
        <v>566</v>
      </c>
      <c r="G303" s="16" t="s">
        <v>567</v>
      </c>
      <c r="H303" s="16" t="s">
        <v>34</v>
      </c>
      <c r="I303" s="16" t="s">
        <v>101</v>
      </c>
      <c r="J303" s="17">
        <v>166833</v>
      </c>
    </row>
    <row r="304" spans="2:10" x14ac:dyDescent="0.25">
      <c r="B304" s="13" t="s">
        <v>568</v>
      </c>
      <c r="C304" s="14" t="s">
        <v>545</v>
      </c>
      <c r="D304" s="15" t="s">
        <v>546</v>
      </c>
      <c r="E304" s="15" t="s">
        <v>399</v>
      </c>
      <c r="F304" s="16" t="s">
        <v>569</v>
      </c>
      <c r="G304" s="16" t="s">
        <v>570</v>
      </c>
      <c r="H304" s="16" t="s">
        <v>34</v>
      </c>
      <c r="I304" s="16" t="s">
        <v>101</v>
      </c>
      <c r="J304" s="17">
        <v>177145</v>
      </c>
    </row>
    <row r="305" spans="2:10" ht="29.25" x14ac:dyDescent="0.25">
      <c r="B305" s="13" t="s">
        <v>484</v>
      </c>
      <c r="C305" s="14" t="s">
        <v>564</v>
      </c>
      <c r="D305" s="15" t="s">
        <v>546</v>
      </c>
      <c r="E305" s="15" t="s">
        <v>399</v>
      </c>
      <c r="F305" s="16" t="s">
        <v>114</v>
      </c>
      <c r="G305" s="16" t="s">
        <v>486</v>
      </c>
      <c r="H305" s="16" t="s">
        <v>34</v>
      </c>
      <c r="I305" s="16" t="s">
        <v>41</v>
      </c>
      <c r="J305" s="17">
        <f>999658*25%</f>
        <v>249914.5</v>
      </c>
    </row>
    <row r="306" spans="2:10" ht="43.5" x14ac:dyDescent="0.25">
      <c r="B306" s="13" t="s">
        <v>571</v>
      </c>
      <c r="C306" s="14" t="s">
        <v>545</v>
      </c>
      <c r="D306" s="15" t="s">
        <v>546</v>
      </c>
      <c r="E306" s="15" t="s">
        <v>399</v>
      </c>
      <c r="F306" s="16" t="s">
        <v>114</v>
      </c>
      <c r="G306" s="16" t="s">
        <v>572</v>
      </c>
      <c r="H306" s="16" t="s">
        <v>34</v>
      </c>
      <c r="I306" s="16" t="s">
        <v>101</v>
      </c>
      <c r="J306" s="17">
        <v>254147</v>
      </c>
    </row>
    <row r="307" spans="2:10" ht="43.5" x14ac:dyDescent="0.25">
      <c r="B307" s="13" t="s">
        <v>573</v>
      </c>
      <c r="C307" s="14" t="s">
        <v>545</v>
      </c>
      <c r="D307" s="15" t="s">
        <v>546</v>
      </c>
      <c r="E307" s="15" t="s">
        <v>399</v>
      </c>
      <c r="F307" s="16" t="s">
        <v>574</v>
      </c>
      <c r="G307" s="16" t="s">
        <v>575</v>
      </c>
      <c r="H307" s="16" t="s">
        <v>34</v>
      </c>
      <c r="I307" s="16" t="s">
        <v>101</v>
      </c>
      <c r="J307" s="17">
        <v>265186</v>
      </c>
    </row>
    <row r="308" spans="2:10" x14ac:dyDescent="0.25">
      <c r="B308" s="24">
        <v>12184</v>
      </c>
      <c r="C308" s="25" t="s">
        <v>576</v>
      </c>
      <c r="D308" s="25" t="s">
        <v>546</v>
      </c>
      <c r="E308" s="25" t="s">
        <v>399</v>
      </c>
      <c r="F308" s="40" t="s">
        <v>114</v>
      </c>
      <c r="G308" s="41" t="s">
        <v>577</v>
      </c>
      <c r="H308" s="27" t="s">
        <v>34</v>
      </c>
      <c r="I308" s="27" t="s">
        <v>41</v>
      </c>
      <c r="J308" s="17">
        <v>171964</v>
      </c>
    </row>
    <row r="309" spans="2:10" ht="29.25" x14ac:dyDescent="0.25">
      <c r="B309" s="24">
        <v>12187</v>
      </c>
      <c r="C309" s="25" t="s">
        <v>545</v>
      </c>
      <c r="D309" s="25" t="s">
        <v>546</v>
      </c>
      <c r="E309" s="25" t="s">
        <v>399</v>
      </c>
      <c r="F309" s="40" t="s">
        <v>578</v>
      </c>
      <c r="G309" s="41" t="s">
        <v>579</v>
      </c>
      <c r="H309" s="27" t="s">
        <v>34</v>
      </c>
      <c r="I309" s="27" t="s">
        <v>101</v>
      </c>
      <c r="J309" s="17">
        <v>211988</v>
      </c>
    </row>
    <row r="310" spans="2:10" ht="29.25" x14ac:dyDescent="0.25">
      <c r="B310" s="33" t="s">
        <v>580</v>
      </c>
      <c r="C310" s="19" t="s">
        <v>581</v>
      </c>
      <c r="D310" s="21" t="s">
        <v>546</v>
      </c>
      <c r="E310" s="21" t="s">
        <v>399</v>
      </c>
      <c r="F310" s="21" t="s">
        <v>192</v>
      </c>
      <c r="G310" s="21" t="s">
        <v>582</v>
      </c>
      <c r="H310" s="21" t="s">
        <v>34</v>
      </c>
      <c r="I310" s="21" t="s">
        <v>101</v>
      </c>
      <c r="J310" s="22">
        <v>136523</v>
      </c>
    </row>
    <row r="311" spans="2:10" x14ac:dyDescent="0.25">
      <c r="B311" s="13" t="s">
        <v>583</v>
      </c>
      <c r="C311" s="14" t="s">
        <v>584</v>
      </c>
      <c r="D311" s="15" t="s">
        <v>585</v>
      </c>
      <c r="E311" s="15" t="s">
        <v>399</v>
      </c>
      <c r="F311" s="16" t="s">
        <v>586</v>
      </c>
      <c r="G311" s="16" t="s">
        <v>587</v>
      </c>
      <c r="H311" s="16" t="s">
        <v>88</v>
      </c>
      <c r="I311" s="16" t="s">
        <v>101</v>
      </c>
      <c r="J311" s="17">
        <v>21501.9</v>
      </c>
    </row>
    <row r="312" spans="2:10" ht="43.5" x14ac:dyDescent="0.25">
      <c r="B312" s="13" t="s">
        <v>588</v>
      </c>
      <c r="C312" s="14" t="s">
        <v>589</v>
      </c>
      <c r="D312" s="15" t="s">
        <v>585</v>
      </c>
      <c r="E312" s="15" t="s">
        <v>399</v>
      </c>
      <c r="F312" s="16" t="s">
        <v>590</v>
      </c>
      <c r="G312" s="16" t="s">
        <v>591</v>
      </c>
      <c r="H312" s="16" t="s">
        <v>34</v>
      </c>
      <c r="I312" s="16" t="s">
        <v>592</v>
      </c>
      <c r="J312" s="17">
        <v>45373</v>
      </c>
    </row>
    <row r="313" spans="2:10" ht="43.5" x14ac:dyDescent="0.25">
      <c r="B313" s="13" t="s">
        <v>593</v>
      </c>
      <c r="C313" s="14" t="s">
        <v>589</v>
      </c>
      <c r="D313" s="15" t="s">
        <v>585</v>
      </c>
      <c r="E313" s="15" t="s">
        <v>399</v>
      </c>
      <c r="F313" s="16" t="s">
        <v>594</v>
      </c>
      <c r="G313" s="16" t="s">
        <v>595</v>
      </c>
      <c r="H313" s="16" t="s">
        <v>34</v>
      </c>
      <c r="I313" s="16" t="s">
        <v>101</v>
      </c>
      <c r="J313" s="17">
        <v>91644</v>
      </c>
    </row>
    <row r="314" spans="2:10" ht="29.25" x14ac:dyDescent="0.25">
      <c r="B314" s="13" t="s">
        <v>596</v>
      </c>
      <c r="C314" s="14" t="s">
        <v>597</v>
      </c>
      <c r="D314" s="15" t="s">
        <v>585</v>
      </c>
      <c r="E314" s="15" t="s">
        <v>399</v>
      </c>
      <c r="F314" s="16" t="s">
        <v>114</v>
      </c>
      <c r="G314" s="16" t="s">
        <v>598</v>
      </c>
      <c r="H314" s="16" t="s">
        <v>34</v>
      </c>
      <c r="I314" s="16" t="s">
        <v>599</v>
      </c>
      <c r="J314" s="17">
        <f>298255/3</f>
        <v>99418.333333333328</v>
      </c>
    </row>
    <row r="315" spans="2:10" ht="29.25" x14ac:dyDescent="0.25">
      <c r="B315" s="13" t="s">
        <v>596</v>
      </c>
      <c r="C315" s="14" t="s">
        <v>600</v>
      </c>
      <c r="D315" s="15" t="s">
        <v>585</v>
      </c>
      <c r="E315" s="15" t="s">
        <v>399</v>
      </c>
      <c r="F315" s="16" t="s">
        <v>114</v>
      </c>
      <c r="G315" s="16" t="s">
        <v>598</v>
      </c>
      <c r="H315" s="16" t="s">
        <v>34</v>
      </c>
      <c r="I315" s="16" t="s">
        <v>599</v>
      </c>
      <c r="J315" s="17">
        <f>298255/3</f>
        <v>99418.333333333328</v>
      </c>
    </row>
    <row r="316" spans="2:10" ht="29.25" x14ac:dyDescent="0.25">
      <c r="B316" s="13" t="s">
        <v>596</v>
      </c>
      <c r="C316" s="14" t="s">
        <v>601</v>
      </c>
      <c r="D316" s="15" t="s">
        <v>585</v>
      </c>
      <c r="E316" s="15" t="s">
        <v>399</v>
      </c>
      <c r="F316" s="16" t="s">
        <v>114</v>
      </c>
      <c r="G316" s="16" t="s">
        <v>598</v>
      </c>
      <c r="H316" s="16" t="s">
        <v>34</v>
      </c>
      <c r="I316" s="16" t="s">
        <v>599</v>
      </c>
      <c r="J316" s="17">
        <f>298255/3</f>
        <v>99418.333333333328</v>
      </c>
    </row>
    <row r="317" spans="2:10" ht="29.25" x14ac:dyDescent="0.25">
      <c r="B317" s="13" t="s">
        <v>484</v>
      </c>
      <c r="C317" s="14" t="s">
        <v>600</v>
      </c>
      <c r="D317" s="15" t="s">
        <v>585</v>
      </c>
      <c r="E317" s="15" t="s">
        <v>399</v>
      </c>
      <c r="F317" s="16" t="s">
        <v>114</v>
      </c>
      <c r="G317" s="16" t="s">
        <v>486</v>
      </c>
      <c r="H317" s="16" t="s">
        <v>34</v>
      </c>
      <c r="I317" s="16" t="s">
        <v>41</v>
      </c>
      <c r="J317" s="17">
        <f>999658*12.5%</f>
        <v>124957.25</v>
      </c>
    </row>
    <row r="318" spans="2:10" ht="29.25" x14ac:dyDescent="0.25">
      <c r="B318" s="13" t="s">
        <v>484</v>
      </c>
      <c r="C318" s="14" t="s">
        <v>584</v>
      </c>
      <c r="D318" s="15" t="s">
        <v>585</v>
      </c>
      <c r="E318" s="15" t="s">
        <v>399</v>
      </c>
      <c r="F318" s="16" t="s">
        <v>114</v>
      </c>
      <c r="G318" s="16" t="s">
        <v>486</v>
      </c>
      <c r="H318" s="16" t="s">
        <v>34</v>
      </c>
      <c r="I318" s="16" t="s">
        <v>41</v>
      </c>
      <c r="J318" s="17">
        <f>999658*12.5%</f>
        <v>124957.25</v>
      </c>
    </row>
    <row r="319" spans="2:10" ht="29.25" x14ac:dyDescent="0.25">
      <c r="B319" s="13" t="s">
        <v>141</v>
      </c>
      <c r="C319" s="14" t="s">
        <v>602</v>
      </c>
      <c r="D319" s="15" t="s">
        <v>585</v>
      </c>
      <c r="E319" s="15" t="s">
        <v>399</v>
      </c>
      <c r="F319" s="16" t="s">
        <v>81</v>
      </c>
      <c r="G319" s="16" t="s">
        <v>143</v>
      </c>
      <c r="H319" s="16" t="s">
        <v>19</v>
      </c>
      <c r="I319" s="16" t="s">
        <v>41</v>
      </c>
      <c r="J319" s="17">
        <f>641991*50%</f>
        <v>320995.5</v>
      </c>
    </row>
    <row r="320" spans="2:10" ht="29.25" x14ac:dyDescent="0.25">
      <c r="B320" s="13" t="s">
        <v>144</v>
      </c>
      <c r="C320" s="14" t="s">
        <v>602</v>
      </c>
      <c r="D320" s="15" t="s">
        <v>585</v>
      </c>
      <c r="E320" s="15" t="s">
        <v>399</v>
      </c>
      <c r="F320" s="16" t="s">
        <v>114</v>
      </c>
      <c r="G320" s="16" t="s">
        <v>145</v>
      </c>
      <c r="H320" s="16" t="s">
        <v>34</v>
      </c>
      <c r="I320" s="16" t="s">
        <v>41</v>
      </c>
      <c r="J320" s="17">
        <f>1171884*50%</f>
        <v>585942</v>
      </c>
    </row>
    <row r="321" spans="1:10" x14ac:dyDescent="0.25">
      <c r="B321" s="24">
        <v>12174</v>
      </c>
      <c r="C321" s="25" t="s">
        <v>603</v>
      </c>
      <c r="D321" s="25" t="s">
        <v>585</v>
      </c>
      <c r="E321" s="26" t="s">
        <v>399</v>
      </c>
      <c r="F321" s="28" t="s">
        <v>604</v>
      </c>
      <c r="G321" s="28" t="s">
        <v>605</v>
      </c>
      <c r="H321" s="27" t="s">
        <v>73</v>
      </c>
      <c r="I321" s="27" t="s">
        <v>41</v>
      </c>
      <c r="J321" s="17">
        <v>600</v>
      </c>
    </row>
    <row r="322" spans="1:10" x14ac:dyDescent="0.25">
      <c r="B322" s="24">
        <v>12174</v>
      </c>
      <c r="C322" s="25" t="s">
        <v>597</v>
      </c>
      <c r="D322" s="25" t="s">
        <v>585</v>
      </c>
      <c r="E322" s="26" t="s">
        <v>399</v>
      </c>
      <c r="F322" s="28" t="s">
        <v>604</v>
      </c>
      <c r="G322" s="28" t="s">
        <v>605</v>
      </c>
      <c r="H322" s="27" t="s">
        <v>73</v>
      </c>
      <c r="I322" s="27" t="s">
        <v>41</v>
      </c>
      <c r="J322" s="17">
        <v>600</v>
      </c>
    </row>
    <row r="323" spans="1:10" x14ac:dyDescent="0.25">
      <c r="B323" s="13" t="s">
        <v>606</v>
      </c>
      <c r="C323" s="14" t="s">
        <v>607</v>
      </c>
      <c r="D323" s="36" t="s">
        <v>608</v>
      </c>
      <c r="E323" s="36" t="s">
        <v>399</v>
      </c>
      <c r="F323" s="16" t="s">
        <v>609</v>
      </c>
      <c r="G323" s="16" t="s">
        <v>610</v>
      </c>
      <c r="H323" s="16" t="s">
        <v>320</v>
      </c>
      <c r="I323" s="16" t="s">
        <v>28</v>
      </c>
      <c r="J323" s="17">
        <v>3000</v>
      </c>
    </row>
    <row r="324" spans="1:10" x14ac:dyDescent="0.25">
      <c r="B324" s="13" t="s">
        <v>606</v>
      </c>
      <c r="C324" s="14" t="s">
        <v>607</v>
      </c>
      <c r="D324" s="36" t="s">
        <v>608</v>
      </c>
      <c r="E324" s="36" t="s">
        <v>399</v>
      </c>
      <c r="F324" s="16" t="s">
        <v>611</v>
      </c>
      <c r="G324" s="16" t="s">
        <v>610</v>
      </c>
      <c r="H324" s="16" t="s">
        <v>526</v>
      </c>
      <c r="I324" s="16" t="s">
        <v>28</v>
      </c>
      <c r="J324" s="17">
        <v>3000</v>
      </c>
    </row>
    <row r="325" spans="1:10" x14ac:dyDescent="0.25">
      <c r="B325" s="13" t="s">
        <v>606</v>
      </c>
      <c r="C325" s="14" t="s">
        <v>607</v>
      </c>
      <c r="D325" s="36" t="s">
        <v>608</v>
      </c>
      <c r="E325" s="36" t="s">
        <v>399</v>
      </c>
      <c r="F325" s="16" t="s">
        <v>612</v>
      </c>
      <c r="G325" s="16" t="s">
        <v>610</v>
      </c>
      <c r="H325" s="16" t="s">
        <v>320</v>
      </c>
      <c r="I325" s="16" t="s">
        <v>28</v>
      </c>
      <c r="J325" s="17">
        <v>3000</v>
      </c>
    </row>
    <row r="326" spans="1:10" x14ac:dyDescent="0.25">
      <c r="B326" s="13" t="s">
        <v>606</v>
      </c>
      <c r="C326" s="14" t="s">
        <v>607</v>
      </c>
      <c r="D326" s="36" t="s">
        <v>608</v>
      </c>
      <c r="E326" s="36" t="s">
        <v>399</v>
      </c>
      <c r="F326" s="16" t="s">
        <v>613</v>
      </c>
      <c r="G326" s="16" t="s">
        <v>610</v>
      </c>
      <c r="H326" s="16" t="s">
        <v>320</v>
      </c>
      <c r="I326" s="16" t="s">
        <v>28</v>
      </c>
      <c r="J326" s="17">
        <v>3000</v>
      </c>
    </row>
    <row r="327" spans="1:10" x14ac:dyDescent="0.25">
      <c r="B327" s="13" t="s">
        <v>606</v>
      </c>
      <c r="C327" s="14" t="s">
        <v>607</v>
      </c>
      <c r="D327" s="36" t="s">
        <v>608</v>
      </c>
      <c r="E327" s="36" t="s">
        <v>399</v>
      </c>
      <c r="F327" s="16" t="s">
        <v>614</v>
      </c>
      <c r="G327" s="16" t="s">
        <v>610</v>
      </c>
      <c r="H327" s="16" t="s">
        <v>526</v>
      </c>
      <c r="I327" s="16" t="s">
        <v>28</v>
      </c>
      <c r="J327" s="17">
        <v>8000</v>
      </c>
    </row>
    <row r="328" spans="1:10" ht="29.25" x14ac:dyDescent="0.25">
      <c r="B328" s="13" t="s">
        <v>615</v>
      </c>
      <c r="C328" s="14" t="s">
        <v>607</v>
      </c>
      <c r="D328" s="15" t="s">
        <v>608</v>
      </c>
      <c r="E328" s="15" t="s">
        <v>399</v>
      </c>
      <c r="F328" s="16" t="s">
        <v>114</v>
      </c>
      <c r="G328" s="16" t="s">
        <v>616</v>
      </c>
      <c r="H328" s="16" t="s">
        <v>34</v>
      </c>
      <c r="I328" s="16" t="s">
        <v>101</v>
      </c>
      <c r="J328" s="17">
        <v>65656</v>
      </c>
    </row>
    <row r="329" spans="1:10" ht="43.5" x14ac:dyDescent="0.25">
      <c r="B329" s="24">
        <v>12175</v>
      </c>
      <c r="C329" s="25" t="s">
        <v>607</v>
      </c>
      <c r="D329" s="25" t="s">
        <v>608</v>
      </c>
      <c r="E329" s="25" t="s">
        <v>399</v>
      </c>
      <c r="F329" s="40" t="s">
        <v>617</v>
      </c>
      <c r="G329" s="41" t="s">
        <v>618</v>
      </c>
      <c r="H329" s="27" t="s">
        <v>34</v>
      </c>
      <c r="I329" s="27" t="s">
        <v>28</v>
      </c>
      <c r="J329" s="17">
        <v>34740</v>
      </c>
    </row>
    <row r="330" spans="1:10" ht="29.25" x14ac:dyDescent="0.25">
      <c r="B330" s="24">
        <v>12176</v>
      </c>
      <c r="C330" s="25" t="s">
        <v>607</v>
      </c>
      <c r="D330" s="25" t="s">
        <v>608</v>
      </c>
      <c r="E330" s="25" t="s">
        <v>399</v>
      </c>
      <c r="F330" s="40" t="s">
        <v>619</v>
      </c>
      <c r="G330" s="41" t="s">
        <v>620</v>
      </c>
      <c r="H330" s="27" t="s">
        <v>34</v>
      </c>
      <c r="I330" s="27" t="s">
        <v>101</v>
      </c>
      <c r="J330" s="17">
        <v>8399</v>
      </c>
    </row>
    <row r="331" spans="1:10" ht="29.25" x14ac:dyDescent="0.25">
      <c r="B331" s="24">
        <v>12185</v>
      </c>
      <c r="C331" s="25" t="s">
        <v>607</v>
      </c>
      <c r="D331" s="25" t="s">
        <v>608</v>
      </c>
      <c r="E331" s="25" t="s">
        <v>399</v>
      </c>
      <c r="F331" s="40" t="s">
        <v>619</v>
      </c>
      <c r="G331" s="41" t="s">
        <v>621</v>
      </c>
      <c r="H331" s="27" t="s">
        <v>34</v>
      </c>
      <c r="I331" s="27" t="s">
        <v>101</v>
      </c>
      <c r="J331" s="17">
        <v>60060</v>
      </c>
    </row>
    <row r="332" spans="1:10" x14ac:dyDescent="0.25">
      <c r="B332" s="13" t="s">
        <v>22</v>
      </c>
      <c r="C332" s="14" t="s">
        <v>622</v>
      </c>
      <c r="D332" s="15" t="s">
        <v>623</v>
      </c>
      <c r="E332" s="15" t="s">
        <v>399</v>
      </c>
      <c r="F332" s="16" t="s">
        <v>22</v>
      </c>
      <c r="G332" s="16" t="s">
        <v>26</v>
      </c>
      <c r="H332" s="16" t="s">
        <v>27</v>
      </c>
      <c r="I332" s="16" t="s">
        <v>28</v>
      </c>
      <c r="J332" s="17">
        <v>5968</v>
      </c>
    </row>
    <row r="333" spans="1:10" x14ac:dyDescent="0.25">
      <c r="B333" s="13" t="s">
        <v>624</v>
      </c>
      <c r="C333" s="14" t="s">
        <v>625</v>
      </c>
      <c r="D333" s="15" t="s">
        <v>623</v>
      </c>
      <c r="E333" s="15" t="s">
        <v>399</v>
      </c>
      <c r="F333" s="16" t="s">
        <v>626</v>
      </c>
      <c r="G333" s="16" t="s">
        <v>627</v>
      </c>
      <c r="H333" s="16" t="s">
        <v>34</v>
      </c>
      <c r="I333" s="16" t="s">
        <v>101</v>
      </c>
      <c r="J333" s="17">
        <v>41000</v>
      </c>
    </row>
    <row r="334" spans="1:10" x14ac:dyDescent="0.25">
      <c r="A334" s="29"/>
      <c r="B334" s="34" t="s">
        <v>628</v>
      </c>
      <c r="C334" s="14" t="s">
        <v>625</v>
      </c>
      <c r="D334" s="15" t="s">
        <v>623</v>
      </c>
      <c r="E334" s="15" t="s">
        <v>399</v>
      </c>
      <c r="F334" s="16" t="s">
        <v>629</v>
      </c>
      <c r="G334" s="16" t="s">
        <v>630</v>
      </c>
      <c r="H334" s="16" t="s">
        <v>34</v>
      </c>
      <c r="I334" s="16" t="s">
        <v>101</v>
      </c>
      <c r="J334" s="17">
        <v>50300.63</v>
      </c>
    </row>
    <row r="335" spans="1:10" ht="29.25" x14ac:dyDescent="0.25">
      <c r="A335" s="29"/>
      <c r="B335" s="34" t="s">
        <v>631</v>
      </c>
      <c r="C335" s="14" t="s">
        <v>625</v>
      </c>
      <c r="D335" s="15" t="s">
        <v>623</v>
      </c>
      <c r="E335" s="15" t="s">
        <v>399</v>
      </c>
      <c r="F335" s="16" t="s">
        <v>629</v>
      </c>
      <c r="G335" s="16" t="s">
        <v>632</v>
      </c>
      <c r="H335" s="16" t="s">
        <v>34</v>
      </c>
      <c r="I335" s="16" t="s">
        <v>101</v>
      </c>
      <c r="J335" s="17">
        <v>50300.63</v>
      </c>
    </row>
    <row r="336" spans="1:10" x14ac:dyDescent="0.25">
      <c r="A336" s="29"/>
      <c r="B336" s="34" t="s">
        <v>190</v>
      </c>
      <c r="C336" s="14" t="s">
        <v>633</v>
      </c>
      <c r="D336" s="15" t="s">
        <v>623</v>
      </c>
      <c r="E336" s="15" t="s">
        <v>399</v>
      </c>
      <c r="F336" s="16" t="s">
        <v>192</v>
      </c>
      <c r="G336" s="16" t="s">
        <v>193</v>
      </c>
      <c r="H336" s="16" t="s">
        <v>34</v>
      </c>
      <c r="I336" s="16" t="s">
        <v>101</v>
      </c>
      <c r="J336" s="17">
        <f>300549*20%</f>
        <v>60109.8</v>
      </c>
    </row>
    <row r="337" spans="1:10" ht="43.5" x14ac:dyDescent="0.25">
      <c r="A337" s="29"/>
      <c r="B337" s="34" t="s">
        <v>634</v>
      </c>
      <c r="C337" s="14" t="s">
        <v>635</v>
      </c>
      <c r="D337" s="15" t="s">
        <v>623</v>
      </c>
      <c r="E337" s="15" t="s">
        <v>399</v>
      </c>
      <c r="F337" s="16" t="s">
        <v>636</v>
      </c>
      <c r="G337" s="16" t="s">
        <v>637</v>
      </c>
      <c r="H337" s="16" t="s">
        <v>73</v>
      </c>
      <c r="I337" s="16" t="s">
        <v>101</v>
      </c>
      <c r="J337" s="17">
        <v>65000</v>
      </c>
    </row>
    <row r="338" spans="1:10" ht="29.25" x14ac:dyDescent="0.25">
      <c r="A338" s="29"/>
      <c r="B338" s="34" t="s">
        <v>638</v>
      </c>
      <c r="C338" s="14" t="s">
        <v>639</v>
      </c>
      <c r="D338" s="15" t="s">
        <v>623</v>
      </c>
      <c r="E338" s="15" t="s">
        <v>399</v>
      </c>
      <c r="F338" s="16" t="s">
        <v>640</v>
      </c>
      <c r="G338" s="16" t="s">
        <v>641</v>
      </c>
      <c r="H338" s="16" t="s">
        <v>34</v>
      </c>
      <c r="I338" s="16" t="s">
        <v>101</v>
      </c>
      <c r="J338" s="17">
        <v>85000</v>
      </c>
    </row>
    <row r="339" spans="1:10" ht="29.25" x14ac:dyDescent="0.25">
      <c r="A339" s="29"/>
      <c r="B339" s="34" t="s">
        <v>198</v>
      </c>
      <c r="C339" s="14" t="s">
        <v>633</v>
      </c>
      <c r="D339" s="15" t="s">
        <v>623</v>
      </c>
      <c r="E339" s="15" t="s">
        <v>399</v>
      </c>
      <c r="F339" s="16" t="s">
        <v>114</v>
      </c>
      <c r="G339" s="16" t="s">
        <v>200</v>
      </c>
      <c r="H339" s="16" t="s">
        <v>34</v>
      </c>
      <c r="I339" s="16" t="s">
        <v>101</v>
      </c>
      <c r="J339" s="17">
        <f>448478*21%</f>
        <v>94180.37999999999</v>
      </c>
    </row>
    <row r="340" spans="1:10" ht="29.25" x14ac:dyDescent="0.25">
      <c r="A340" s="29"/>
      <c r="B340" s="34" t="s">
        <v>642</v>
      </c>
      <c r="C340" s="14" t="s">
        <v>643</v>
      </c>
      <c r="D340" s="15" t="s">
        <v>623</v>
      </c>
      <c r="E340" s="15" t="s">
        <v>399</v>
      </c>
      <c r="F340" s="16" t="s">
        <v>114</v>
      </c>
      <c r="G340" s="16" t="s">
        <v>644</v>
      </c>
      <c r="H340" s="16" t="s">
        <v>34</v>
      </c>
      <c r="I340" s="16" t="s">
        <v>41</v>
      </c>
      <c r="J340" s="17">
        <f>194692*50%</f>
        <v>97346</v>
      </c>
    </row>
    <row r="341" spans="1:10" ht="29.25" x14ac:dyDescent="0.25">
      <c r="A341" s="29"/>
      <c r="B341" s="34" t="s">
        <v>642</v>
      </c>
      <c r="C341" s="14" t="s">
        <v>645</v>
      </c>
      <c r="D341" s="15" t="s">
        <v>623</v>
      </c>
      <c r="E341" s="15" t="s">
        <v>399</v>
      </c>
      <c r="F341" s="16" t="s">
        <v>114</v>
      </c>
      <c r="G341" s="16" t="s">
        <v>644</v>
      </c>
      <c r="H341" s="16" t="s">
        <v>34</v>
      </c>
      <c r="I341" s="16" t="s">
        <v>41</v>
      </c>
      <c r="J341" s="17">
        <f>194692*50%</f>
        <v>97346</v>
      </c>
    </row>
    <row r="342" spans="1:10" ht="43.5" x14ac:dyDescent="0.25">
      <c r="A342" s="29"/>
      <c r="B342" s="34" t="s">
        <v>194</v>
      </c>
      <c r="C342" s="14" t="s">
        <v>633</v>
      </c>
      <c r="D342" s="15" t="s">
        <v>623</v>
      </c>
      <c r="E342" s="15" t="s">
        <v>399</v>
      </c>
      <c r="F342" s="16" t="s">
        <v>114</v>
      </c>
      <c r="G342" s="16" t="s">
        <v>196</v>
      </c>
      <c r="H342" s="16" t="s">
        <v>34</v>
      </c>
      <c r="I342" s="16" t="s">
        <v>116</v>
      </c>
      <c r="J342" s="17">
        <f>413434*25%</f>
        <v>103358.5</v>
      </c>
    </row>
    <row r="343" spans="1:10" ht="29.25" x14ac:dyDescent="0.25">
      <c r="A343" s="29"/>
      <c r="B343" s="34" t="s">
        <v>646</v>
      </c>
      <c r="C343" s="14" t="s">
        <v>633</v>
      </c>
      <c r="D343" s="15" t="s">
        <v>623</v>
      </c>
      <c r="E343" s="15" t="s">
        <v>399</v>
      </c>
      <c r="F343" s="16" t="s">
        <v>114</v>
      </c>
      <c r="G343" s="16" t="s">
        <v>647</v>
      </c>
      <c r="H343" s="16" t="s">
        <v>34</v>
      </c>
      <c r="I343" s="16" t="s">
        <v>101</v>
      </c>
      <c r="J343" s="17">
        <f>301882*44%</f>
        <v>132828.07999999999</v>
      </c>
    </row>
    <row r="344" spans="1:10" ht="43.5" x14ac:dyDescent="0.25">
      <c r="A344" s="29"/>
      <c r="B344" s="34" t="s">
        <v>648</v>
      </c>
      <c r="C344" s="14" t="s">
        <v>639</v>
      </c>
      <c r="D344" s="15" t="s">
        <v>623</v>
      </c>
      <c r="E344" s="15" t="s">
        <v>399</v>
      </c>
      <c r="F344" s="16" t="s">
        <v>114</v>
      </c>
      <c r="G344" s="16" t="s">
        <v>649</v>
      </c>
      <c r="H344" s="16" t="s">
        <v>34</v>
      </c>
      <c r="I344" s="16" t="s">
        <v>101</v>
      </c>
      <c r="J344" s="17">
        <v>216822</v>
      </c>
    </row>
    <row r="345" spans="1:10" s="32" customFormat="1" ht="16.5" x14ac:dyDescent="0.3">
      <c r="A345" s="31"/>
      <c r="B345" s="13" t="s">
        <v>650</v>
      </c>
      <c r="C345" s="14" t="s">
        <v>651</v>
      </c>
      <c r="D345" s="15" t="s">
        <v>623</v>
      </c>
      <c r="E345" s="15" t="s">
        <v>399</v>
      </c>
      <c r="F345" s="16" t="s">
        <v>114</v>
      </c>
      <c r="G345" s="16" t="s">
        <v>652</v>
      </c>
      <c r="H345" s="16" t="s">
        <v>34</v>
      </c>
      <c r="I345" s="16" t="s">
        <v>101</v>
      </c>
      <c r="J345" s="17">
        <f>639438*40%</f>
        <v>255775.2</v>
      </c>
    </row>
    <row r="346" spans="1:10" s="32" customFormat="1" ht="16.5" x14ac:dyDescent="0.3">
      <c r="A346" s="31"/>
      <c r="B346" s="13" t="s">
        <v>653</v>
      </c>
      <c r="C346" s="14" t="s">
        <v>651</v>
      </c>
      <c r="D346" s="15" t="s">
        <v>623</v>
      </c>
      <c r="E346" s="15" t="s">
        <v>399</v>
      </c>
      <c r="F346" s="16" t="s">
        <v>114</v>
      </c>
      <c r="G346" s="16" t="s">
        <v>654</v>
      </c>
      <c r="H346" s="16" t="s">
        <v>34</v>
      </c>
      <c r="I346" s="16" t="s">
        <v>116</v>
      </c>
      <c r="J346" s="17">
        <f>750006*40%</f>
        <v>300002.40000000002</v>
      </c>
    </row>
    <row r="347" spans="1:10" s="32" customFormat="1" ht="44.25" x14ac:dyDescent="0.3">
      <c r="A347" s="31"/>
      <c r="B347" s="13" t="s">
        <v>655</v>
      </c>
      <c r="C347" s="14" t="s">
        <v>651</v>
      </c>
      <c r="D347" s="15" t="s">
        <v>623</v>
      </c>
      <c r="E347" s="15" t="s">
        <v>399</v>
      </c>
      <c r="F347" s="16" t="s">
        <v>656</v>
      </c>
      <c r="G347" s="16" t="s">
        <v>657</v>
      </c>
      <c r="H347" s="16" t="s">
        <v>88</v>
      </c>
      <c r="I347" s="16" t="s">
        <v>101</v>
      </c>
      <c r="J347" s="17">
        <v>23976</v>
      </c>
    </row>
    <row r="348" spans="1:10" s="32" customFormat="1" ht="44.25" x14ac:dyDescent="0.3">
      <c r="A348" s="31"/>
      <c r="B348" s="33" t="s">
        <v>658</v>
      </c>
      <c r="C348" s="19" t="s">
        <v>633</v>
      </c>
      <c r="D348" s="21" t="s">
        <v>623</v>
      </c>
      <c r="E348" s="21" t="s">
        <v>399</v>
      </c>
      <c r="F348" s="21" t="s">
        <v>659</v>
      </c>
      <c r="G348" s="21" t="s">
        <v>660</v>
      </c>
      <c r="H348" s="21" t="s">
        <v>34</v>
      </c>
      <c r="I348" s="21" t="s">
        <v>101</v>
      </c>
      <c r="J348" s="22">
        <v>179696</v>
      </c>
    </row>
    <row r="349" spans="1:10" s="32" customFormat="1" ht="30" x14ac:dyDescent="0.3">
      <c r="A349" s="31"/>
      <c r="B349" s="18">
        <v>10075</v>
      </c>
      <c r="C349" s="19" t="s">
        <v>625</v>
      </c>
      <c r="D349" s="20" t="s">
        <v>623</v>
      </c>
      <c r="E349" s="20" t="s">
        <v>399</v>
      </c>
      <c r="F349" s="21" t="s">
        <v>114</v>
      </c>
      <c r="G349" s="21" t="s">
        <v>661</v>
      </c>
      <c r="H349" s="21" t="s">
        <v>34</v>
      </c>
      <c r="I349" s="21" t="s">
        <v>662</v>
      </c>
      <c r="J349" s="22">
        <v>131241</v>
      </c>
    </row>
    <row r="350" spans="1:10" x14ac:dyDescent="0.25">
      <c r="B350" s="6" t="s">
        <v>663</v>
      </c>
      <c r="C350" s="6"/>
      <c r="D350" s="6"/>
      <c r="E350" s="6"/>
      <c r="F350" s="6"/>
      <c r="G350" s="6"/>
      <c r="H350" s="7" t="s">
        <v>3</v>
      </c>
      <c r="I350" s="7"/>
      <c r="J350" s="8">
        <f>SUM(J353)</f>
        <v>250000</v>
      </c>
    </row>
    <row r="351" spans="1:10" x14ac:dyDescent="0.25">
      <c r="B351" s="6"/>
      <c r="C351" s="6"/>
      <c r="D351" s="6"/>
      <c r="E351" s="6"/>
      <c r="F351" s="6"/>
      <c r="G351" s="6"/>
      <c r="H351" s="7"/>
      <c r="I351" s="7"/>
      <c r="J351" s="9"/>
    </row>
    <row r="352" spans="1:10" ht="29.25" x14ac:dyDescent="0.25">
      <c r="B352" s="10" t="s">
        <v>4</v>
      </c>
      <c r="C352" s="10" t="s">
        <v>5</v>
      </c>
      <c r="D352" s="10" t="s">
        <v>6</v>
      </c>
      <c r="E352" s="10" t="s">
        <v>7</v>
      </c>
      <c r="F352" s="10" t="s">
        <v>8</v>
      </c>
      <c r="G352" s="10" t="s">
        <v>9</v>
      </c>
      <c r="H352" s="10" t="s">
        <v>10</v>
      </c>
      <c r="I352" s="10" t="s">
        <v>11</v>
      </c>
      <c r="J352" s="11" t="s">
        <v>12</v>
      </c>
    </row>
    <row r="353" spans="1:10" x14ac:dyDescent="0.25">
      <c r="B353" s="13" t="s">
        <v>664</v>
      </c>
      <c r="C353" s="14" t="s">
        <v>665</v>
      </c>
      <c r="D353" s="15" t="s">
        <v>666</v>
      </c>
      <c r="E353" s="15" t="s">
        <v>667</v>
      </c>
      <c r="F353" s="16" t="s">
        <v>169</v>
      </c>
      <c r="G353" s="16" t="s">
        <v>668</v>
      </c>
      <c r="H353" s="16" t="s">
        <v>34</v>
      </c>
      <c r="I353" s="16" t="s">
        <v>268</v>
      </c>
      <c r="J353" s="17">
        <v>250000</v>
      </c>
    </row>
    <row r="354" spans="1:10" x14ac:dyDescent="0.25">
      <c r="B354" s="6" t="s">
        <v>669</v>
      </c>
      <c r="C354" s="6"/>
      <c r="D354" s="6"/>
      <c r="E354" s="6"/>
      <c r="F354" s="6"/>
      <c r="G354" s="6"/>
      <c r="H354" s="7" t="s">
        <v>3</v>
      </c>
      <c r="I354" s="7"/>
      <c r="J354" s="8">
        <f>SUM(J357:J359)</f>
        <v>5793</v>
      </c>
    </row>
    <row r="355" spans="1:10" x14ac:dyDescent="0.25">
      <c r="B355" s="6"/>
      <c r="C355" s="6"/>
      <c r="D355" s="6"/>
      <c r="E355" s="6"/>
      <c r="F355" s="6"/>
      <c r="G355" s="6"/>
      <c r="H355" s="7"/>
      <c r="I355" s="7"/>
      <c r="J355" s="9"/>
    </row>
    <row r="356" spans="1:10" ht="29.25" x14ac:dyDescent="0.25">
      <c r="B356" s="10" t="s">
        <v>4</v>
      </c>
      <c r="C356" s="10" t="s">
        <v>5</v>
      </c>
      <c r="D356" s="10" t="s">
        <v>6</v>
      </c>
      <c r="E356" s="10" t="s">
        <v>7</v>
      </c>
      <c r="F356" s="10" t="s">
        <v>8</v>
      </c>
      <c r="G356" s="10" t="s">
        <v>9</v>
      </c>
      <c r="H356" s="10" t="s">
        <v>10</v>
      </c>
      <c r="I356" s="10" t="s">
        <v>11</v>
      </c>
      <c r="J356" s="11" t="s">
        <v>12</v>
      </c>
    </row>
    <row r="357" spans="1:10" x14ac:dyDescent="0.25">
      <c r="B357" s="13" t="s">
        <v>670</v>
      </c>
      <c r="C357" s="14" t="s">
        <v>671</v>
      </c>
      <c r="D357" s="15" t="s">
        <v>672</v>
      </c>
      <c r="E357" s="15" t="s">
        <v>672</v>
      </c>
      <c r="F357" s="16" t="s">
        <v>673</v>
      </c>
      <c r="G357" s="16" t="s">
        <v>674</v>
      </c>
      <c r="H357" s="16" t="s">
        <v>19</v>
      </c>
      <c r="I357" s="16" t="s">
        <v>41</v>
      </c>
      <c r="J357" s="17">
        <v>1800</v>
      </c>
    </row>
    <row r="358" spans="1:10" ht="29.25" x14ac:dyDescent="0.25">
      <c r="B358" s="13" t="s">
        <v>675</v>
      </c>
      <c r="C358" s="14" t="s">
        <v>676</v>
      </c>
      <c r="D358" s="15" t="s">
        <v>672</v>
      </c>
      <c r="E358" s="15" t="s">
        <v>672</v>
      </c>
      <c r="F358" s="16" t="s">
        <v>45</v>
      </c>
      <c r="G358" s="16" t="s">
        <v>677</v>
      </c>
      <c r="H358" s="16" t="s">
        <v>34</v>
      </c>
      <c r="I358" s="16" t="s">
        <v>41</v>
      </c>
      <c r="J358" s="17">
        <v>2500</v>
      </c>
    </row>
    <row r="359" spans="1:10" ht="29.25" x14ac:dyDescent="0.25">
      <c r="A359" s="29"/>
      <c r="B359" s="43">
        <v>12170</v>
      </c>
      <c r="C359" s="25" t="s">
        <v>678</v>
      </c>
      <c r="D359" s="25" t="s">
        <v>672</v>
      </c>
      <c r="E359" s="26" t="s">
        <v>672</v>
      </c>
      <c r="F359" s="28" t="s">
        <v>673</v>
      </c>
      <c r="G359" s="28" t="s">
        <v>679</v>
      </c>
      <c r="H359" s="27" t="s">
        <v>19</v>
      </c>
      <c r="I359" s="27" t="s">
        <v>41</v>
      </c>
      <c r="J359" s="17">
        <v>1493</v>
      </c>
    </row>
    <row r="360" spans="1:10" x14ac:dyDescent="0.25">
      <c r="B360" s="6" t="s">
        <v>680</v>
      </c>
      <c r="C360" s="6"/>
      <c r="D360" s="6"/>
      <c r="E360" s="6"/>
      <c r="F360" s="6"/>
      <c r="G360" s="6"/>
      <c r="H360" s="7" t="s">
        <v>3</v>
      </c>
      <c r="I360" s="7"/>
      <c r="J360" s="8">
        <f>SUM(J363:J365)</f>
        <v>28984</v>
      </c>
    </row>
    <row r="361" spans="1:10" x14ac:dyDescent="0.25">
      <c r="B361" s="6"/>
      <c r="C361" s="6"/>
      <c r="D361" s="6"/>
      <c r="E361" s="6"/>
      <c r="F361" s="6"/>
      <c r="G361" s="6"/>
      <c r="H361" s="7"/>
      <c r="I361" s="7"/>
      <c r="J361" s="9"/>
    </row>
    <row r="362" spans="1:10" ht="29.25" x14ac:dyDescent="0.25">
      <c r="B362" s="10" t="s">
        <v>4</v>
      </c>
      <c r="C362" s="10" t="s">
        <v>5</v>
      </c>
      <c r="D362" s="10" t="s">
        <v>6</v>
      </c>
      <c r="E362" s="10" t="s">
        <v>7</v>
      </c>
      <c r="F362" s="10" t="s">
        <v>8</v>
      </c>
      <c r="G362" s="10" t="s">
        <v>9</v>
      </c>
      <c r="H362" s="10" t="s">
        <v>10</v>
      </c>
      <c r="I362" s="10" t="s">
        <v>11</v>
      </c>
      <c r="J362" s="11" t="s">
        <v>12</v>
      </c>
    </row>
    <row r="363" spans="1:10" x14ac:dyDescent="0.25">
      <c r="B363" s="13" t="s">
        <v>22</v>
      </c>
      <c r="C363" s="14" t="s">
        <v>681</v>
      </c>
      <c r="D363" s="15" t="s">
        <v>682</v>
      </c>
      <c r="E363" s="15" t="s">
        <v>683</v>
      </c>
      <c r="F363" s="16" t="s">
        <v>22</v>
      </c>
      <c r="G363" s="16" t="s">
        <v>26</v>
      </c>
      <c r="H363" s="16" t="s">
        <v>27</v>
      </c>
      <c r="I363" s="16" t="s">
        <v>28</v>
      </c>
      <c r="J363" s="17">
        <v>720</v>
      </c>
    </row>
    <row r="364" spans="1:10" x14ac:dyDescent="0.25">
      <c r="A364" s="23"/>
      <c r="B364" s="44" t="s">
        <v>684</v>
      </c>
      <c r="C364" s="16" t="s">
        <v>685</v>
      </c>
      <c r="D364" s="16" t="s">
        <v>686</v>
      </c>
      <c r="E364" s="16" t="s">
        <v>683</v>
      </c>
      <c r="F364" s="16" t="s">
        <v>687</v>
      </c>
      <c r="G364" s="16" t="s">
        <v>688</v>
      </c>
      <c r="H364" s="16" t="s">
        <v>73</v>
      </c>
      <c r="I364" s="16" t="s">
        <v>41</v>
      </c>
      <c r="J364" s="22">
        <v>10833</v>
      </c>
    </row>
    <row r="365" spans="1:10" x14ac:dyDescent="0.25">
      <c r="A365" s="23"/>
      <c r="B365" s="44" t="s">
        <v>689</v>
      </c>
      <c r="C365" s="16" t="s">
        <v>685</v>
      </c>
      <c r="D365" s="16" t="s">
        <v>686</v>
      </c>
      <c r="E365" s="16" t="s">
        <v>683</v>
      </c>
      <c r="F365" s="16" t="s">
        <v>62</v>
      </c>
      <c r="G365" s="16" t="s">
        <v>690</v>
      </c>
      <c r="H365" s="16" t="s">
        <v>73</v>
      </c>
      <c r="I365" s="16" t="s">
        <v>41</v>
      </c>
      <c r="J365" s="22">
        <v>17431</v>
      </c>
    </row>
    <row r="366" spans="1:10" x14ac:dyDescent="0.25">
      <c r="B366" s="6" t="s">
        <v>691</v>
      </c>
      <c r="C366" s="6"/>
      <c r="D366" s="6"/>
      <c r="E366" s="6"/>
      <c r="F366" s="6"/>
      <c r="G366" s="6"/>
      <c r="H366" s="7" t="s">
        <v>3</v>
      </c>
      <c r="I366" s="7"/>
      <c r="J366" s="8">
        <f>SUM(J369:J406)</f>
        <v>2900729.58</v>
      </c>
    </row>
    <row r="367" spans="1:10" x14ac:dyDescent="0.25">
      <c r="B367" s="6"/>
      <c r="C367" s="6"/>
      <c r="D367" s="6"/>
      <c r="E367" s="6"/>
      <c r="F367" s="6"/>
      <c r="G367" s="6"/>
      <c r="H367" s="7"/>
      <c r="I367" s="7"/>
      <c r="J367" s="9"/>
    </row>
    <row r="368" spans="1:10" ht="29.25" x14ac:dyDescent="0.25">
      <c r="B368" s="10" t="s">
        <v>4</v>
      </c>
      <c r="C368" s="10" t="s">
        <v>5</v>
      </c>
      <c r="D368" s="10" t="s">
        <v>6</v>
      </c>
      <c r="E368" s="10" t="s">
        <v>7</v>
      </c>
      <c r="F368" s="10" t="s">
        <v>8</v>
      </c>
      <c r="G368" s="10" t="s">
        <v>9</v>
      </c>
      <c r="H368" s="10" t="s">
        <v>10</v>
      </c>
      <c r="I368" s="10" t="s">
        <v>11</v>
      </c>
      <c r="J368" s="11" t="s">
        <v>12</v>
      </c>
    </row>
    <row r="369" spans="2:10" ht="29.25" x14ac:dyDescent="0.25">
      <c r="B369" s="13" t="s">
        <v>692</v>
      </c>
      <c r="C369" s="14" t="s">
        <v>693</v>
      </c>
      <c r="D369" s="15" t="s">
        <v>694</v>
      </c>
      <c r="E369" s="15" t="s">
        <v>695</v>
      </c>
      <c r="F369" s="16" t="s">
        <v>696</v>
      </c>
      <c r="G369" s="16" t="s">
        <v>697</v>
      </c>
      <c r="H369" s="16" t="s">
        <v>73</v>
      </c>
      <c r="I369" s="16" t="s">
        <v>101</v>
      </c>
      <c r="J369" s="17">
        <f>13317*10%</f>
        <v>1331.7</v>
      </c>
    </row>
    <row r="370" spans="2:10" x14ac:dyDescent="0.25">
      <c r="B370" s="13" t="s">
        <v>22</v>
      </c>
      <c r="C370" s="14" t="s">
        <v>698</v>
      </c>
      <c r="D370" s="15" t="s">
        <v>694</v>
      </c>
      <c r="E370" s="15" t="s">
        <v>695</v>
      </c>
      <c r="F370" s="16" t="s">
        <v>22</v>
      </c>
      <c r="G370" s="16" t="s">
        <v>26</v>
      </c>
      <c r="H370" s="16" t="s">
        <v>27</v>
      </c>
      <c r="I370" s="16" t="s">
        <v>28</v>
      </c>
      <c r="J370" s="17">
        <v>2918</v>
      </c>
    </row>
    <row r="371" spans="2:10" ht="29.25" x14ac:dyDescent="0.25">
      <c r="B371" s="13" t="s">
        <v>699</v>
      </c>
      <c r="C371" s="14" t="s">
        <v>700</v>
      </c>
      <c r="D371" s="15" t="s">
        <v>694</v>
      </c>
      <c r="E371" s="15" t="s">
        <v>695</v>
      </c>
      <c r="F371" s="16" t="s">
        <v>701</v>
      </c>
      <c r="G371" s="16" t="s">
        <v>702</v>
      </c>
      <c r="H371" s="16" t="s">
        <v>73</v>
      </c>
      <c r="I371" s="16" t="s">
        <v>101</v>
      </c>
      <c r="J371" s="17">
        <v>4999.3999999999996</v>
      </c>
    </row>
    <row r="372" spans="2:10" ht="29.25" x14ac:dyDescent="0.25">
      <c r="B372" s="13" t="s">
        <v>703</v>
      </c>
      <c r="C372" s="14" t="s">
        <v>704</v>
      </c>
      <c r="D372" s="15" t="s">
        <v>694</v>
      </c>
      <c r="E372" s="15" t="s">
        <v>695</v>
      </c>
      <c r="F372" s="16" t="s">
        <v>705</v>
      </c>
      <c r="G372" s="16" t="s">
        <v>706</v>
      </c>
      <c r="H372" s="16" t="s">
        <v>34</v>
      </c>
      <c r="I372" s="16" t="s">
        <v>101</v>
      </c>
      <c r="J372" s="17">
        <f>52500*10%</f>
        <v>5250</v>
      </c>
    </row>
    <row r="373" spans="2:10" ht="29.25" x14ac:dyDescent="0.25">
      <c r="B373" s="13" t="s">
        <v>692</v>
      </c>
      <c r="C373" s="14" t="s">
        <v>707</v>
      </c>
      <c r="D373" s="15" t="s">
        <v>694</v>
      </c>
      <c r="E373" s="15" t="s">
        <v>695</v>
      </c>
      <c r="F373" s="16" t="s">
        <v>696</v>
      </c>
      <c r="G373" s="16" t="s">
        <v>697</v>
      </c>
      <c r="H373" s="16" t="s">
        <v>73</v>
      </c>
      <c r="I373" s="16" t="s">
        <v>101</v>
      </c>
      <c r="J373" s="17">
        <f>13317*40%</f>
        <v>5326.8</v>
      </c>
    </row>
    <row r="374" spans="2:10" ht="29.25" x14ac:dyDescent="0.25">
      <c r="B374" s="13" t="s">
        <v>692</v>
      </c>
      <c r="C374" s="14" t="s">
        <v>708</v>
      </c>
      <c r="D374" s="15" t="s">
        <v>694</v>
      </c>
      <c r="E374" s="15" t="s">
        <v>695</v>
      </c>
      <c r="F374" s="16" t="s">
        <v>696</v>
      </c>
      <c r="G374" s="16" t="s">
        <v>697</v>
      </c>
      <c r="H374" s="16" t="s">
        <v>73</v>
      </c>
      <c r="I374" s="16" t="s">
        <v>101</v>
      </c>
      <c r="J374" s="17">
        <f>13317*50%</f>
        <v>6658.5</v>
      </c>
    </row>
    <row r="375" spans="2:10" x14ac:dyDescent="0.25">
      <c r="B375" s="13" t="s">
        <v>22</v>
      </c>
      <c r="C375" s="14" t="s">
        <v>698</v>
      </c>
      <c r="D375" s="15" t="s">
        <v>694</v>
      </c>
      <c r="E375" s="15" t="s">
        <v>695</v>
      </c>
      <c r="F375" s="16" t="s">
        <v>22</v>
      </c>
      <c r="G375" s="16" t="s">
        <v>29</v>
      </c>
      <c r="H375" s="16" t="s">
        <v>27</v>
      </c>
      <c r="I375" s="16" t="s">
        <v>28</v>
      </c>
      <c r="J375" s="17">
        <v>15230</v>
      </c>
    </row>
    <row r="376" spans="2:10" x14ac:dyDescent="0.25">
      <c r="B376" s="13" t="s">
        <v>22</v>
      </c>
      <c r="C376" s="14" t="s">
        <v>698</v>
      </c>
      <c r="D376" s="15" t="s">
        <v>694</v>
      </c>
      <c r="E376" s="15" t="s">
        <v>695</v>
      </c>
      <c r="F376" s="16" t="s">
        <v>22</v>
      </c>
      <c r="G376" s="16" t="s">
        <v>30</v>
      </c>
      <c r="H376" s="16" t="s">
        <v>27</v>
      </c>
      <c r="I376" s="16" t="s">
        <v>28</v>
      </c>
      <c r="J376" s="17">
        <v>20767</v>
      </c>
    </row>
    <row r="377" spans="2:10" ht="29.25" x14ac:dyDescent="0.25">
      <c r="B377" s="13" t="s">
        <v>703</v>
      </c>
      <c r="C377" s="14" t="s">
        <v>709</v>
      </c>
      <c r="D377" s="15" t="s">
        <v>694</v>
      </c>
      <c r="E377" s="15" t="s">
        <v>695</v>
      </c>
      <c r="F377" s="16" t="s">
        <v>705</v>
      </c>
      <c r="G377" s="16" t="s">
        <v>706</v>
      </c>
      <c r="H377" s="16" t="s">
        <v>34</v>
      </c>
      <c r="I377" s="16" t="s">
        <v>101</v>
      </c>
      <c r="J377" s="17">
        <f>52500*40%</f>
        <v>21000</v>
      </c>
    </row>
    <row r="378" spans="2:10" ht="29.25" x14ac:dyDescent="0.25">
      <c r="B378" s="13" t="s">
        <v>710</v>
      </c>
      <c r="C378" s="14" t="s">
        <v>711</v>
      </c>
      <c r="D378" s="15" t="s">
        <v>694</v>
      </c>
      <c r="E378" s="15" t="s">
        <v>695</v>
      </c>
      <c r="F378" s="16" t="s">
        <v>712</v>
      </c>
      <c r="G378" s="16" t="s">
        <v>713</v>
      </c>
      <c r="H378" s="16" t="s">
        <v>19</v>
      </c>
      <c r="I378" s="16" t="s">
        <v>101</v>
      </c>
      <c r="J378" s="17">
        <f>45000*50%</f>
        <v>22500</v>
      </c>
    </row>
    <row r="379" spans="2:10" ht="29.25" x14ac:dyDescent="0.25">
      <c r="B379" s="13" t="s">
        <v>710</v>
      </c>
      <c r="C379" s="14" t="s">
        <v>709</v>
      </c>
      <c r="D379" s="15" t="s">
        <v>694</v>
      </c>
      <c r="E379" s="15" t="s">
        <v>695</v>
      </c>
      <c r="F379" s="16" t="s">
        <v>712</v>
      </c>
      <c r="G379" s="16" t="s">
        <v>713</v>
      </c>
      <c r="H379" s="16" t="s">
        <v>19</v>
      </c>
      <c r="I379" s="16" t="s">
        <v>101</v>
      </c>
      <c r="J379" s="17">
        <f>45000*50%</f>
        <v>22500</v>
      </c>
    </row>
    <row r="380" spans="2:10" ht="29.25" x14ac:dyDescent="0.25">
      <c r="B380" s="13" t="s">
        <v>714</v>
      </c>
      <c r="C380" s="14" t="s">
        <v>715</v>
      </c>
      <c r="D380" s="15" t="s">
        <v>694</v>
      </c>
      <c r="E380" s="15" t="s">
        <v>695</v>
      </c>
      <c r="F380" s="16" t="s">
        <v>716</v>
      </c>
      <c r="G380" s="16" t="s">
        <v>717</v>
      </c>
      <c r="H380" s="16" t="s">
        <v>19</v>
      </c>
      <c r="I380" s="16" t="s">
        <v>101</v>
      </c>
      <c r="J380" s="17">
        <v>24881</v>
      </c>
    </row>
    <row r="381" spans="2:10" ht="29.25" x14ac:dyDescent="0.25">
      <c r="B381" s="13" t="s">
        <v>703</v>
      </c>
      <c r="C381" s="14" t="s">
        <v>711</v>
      </c>
      <c r="D381" s="15" t="s">
        <v>694</v>
      </c>
      <c r="E381" s="15" t="s">
        <v>695</v>
      </c>
      <c r="F381" s="16" t="s">
        <v>705</v>
      </c>
      <c r="G381" s="16" t="s">
        <v>706</v>
      </c>
      <c r="H381" s="16" t="s">
        <v>34</v>
      </c>
      <c r="I381" s="16" t="s">
        <v>101</v>
      </c>
      <c r="J381" s="17">
        <f>52500*50%</f>
        <v>26250</v>
      </c>
    </row>
    <row r="382" spans="2:10" ht="29.25" x14ac:dyDescent="0.25">
      <c r="B382" s="13" t="s">
        <v>718</v>
      </c>
      <c r="C382" s="14" t="s">
        <v>698</v>
      </c>
      <c r="D382" s="15" t="s">
        <v>694</v>
      </c>
      <c r="E382" s="15" t="s">
        <v>695</v>
      </c>
      <c r="F382" s="16" t="s">
        <v>719</v>
      </c>
      <c r="G382" s="16" t="s">
        <v>720</v>
      </c>
      <c r="H382" s="16" t="s">
        <v>88</v>
      </c>
      <c r="I382" s="16" t="s">
        <v>28</v>
      </c>
      <c r="J382" s="17">
        <v>678000</v>
      </c>
    </row>
    <row r="383" spans="2:10" ht="29.25" x14ac:dyDescent="0.25">
      <c r="B383" s="24">
        <v>12169</v>
      </c>
      <c r="C383" s="25" t="s">
        <v>715</v>
      </c>
      <c r="D383" s="26" t="s">
        <v>694</v>
      </c>
      <c r="E383" s="27" t="s">
        <v>695</v>
      </c>
      <c r="F383" s="28" t="s">
        <v>721</v>
      </c>
      <c r="G383" s="28" t="s">
        <v>722</v>
      </c>
      <c r="H383" s="27" t="s">
        <v>19</v>
      </c>
      <c r="I383" s="27" t="s">
        <v>101</v>
      </c>
      <c r="J383" s="17">
        <v>29988</v>
      </c>
    </row>
    <row r="384" spans="2:10" x14ac:dyDescent="0.25">
      <c r="B384" s="18" t="s">
        <v>22</v>
      </c>
      <c r="C384" s="19" t="s">
        <v>698</v>
      </c>
      <c r="D384" s="20" t="s">
        <v>694</v>
      </c>
      <c r="E384" s="20" t="s">
        <v>695</v>
      </c>
      <c r="F384" s="21" t="s">
        <v>22</v>
      </c>
      <c r="G384" s="21" t="s">
        <v>35</v>
      </c>
      <c r="H384" s="21" t="s">
        <v>27</v>
      </c>
      <c r="I384" s="21" t="s">
        <v>28</v>
      </c>
      <c r="J384" s="22">
        <v>8612</v>
      </c>
    </row>
    <row r="385" spans="1:10" ht="29.25" x14ac:dyDescent="0.25">
      <c r="B385" s="13" t="s">
        <v>723</v>
      </c>
      <c r="C385" s="14" t="s">
        <v>715</v>
      </c>
      <c r="D385" s="15" t="s">
        <v>724</v>
      </c>
      <c r="E385" s="15" t="s">
        <v>695</v>
      </c>
      <c r="F385" s="16" t="s">
        <v>725</v>
      </c>
      <c r="G385" s="16" t="s">
        <v>726</v>
      </c>
      <c r="H385" s="16" t="s">
        <v>73</v>
      </c>
      <c r="I385" s="16" t="s">
        <v>101</v>
      </c>
      <c r="J385" s="17">
        <v>131180.96</v>
      </c>
    </row>
    <row r="386" spans="1:10" ht="29.25" x14ac:dyDescent="0.25">
      <c r="B386" s="24">
        <v>12183</v>
      </c>
      <c r="C386" s="25" t="s">
        <v>727</v>
      </c>
      <c r="D386" s="25" t="s">
        <v>724</v>
      </c>
      <c r="E386" s="25" t="s">
        <v>695</v>
      </c>
      <c r="F386" s="40" t="s">
        <v>394</v>
      </c>
      <c r="G386" s="41" t="s">
        <v>728</v>
      </c>
      <c r="H386" s="27" t="s">
        <v>34</v>
      </c>
      <c r="I386" s="27" t="s">
        <v>101</v>
      </c>
      <c r="J386" s="17">
        <v>45631</v>
      </c>
    </row>
    <row r="387" spans="1:10" ht="29.25" x14ac:dyDescent="0.25">
      <c r="B387" s="13" t="s">
        <v>646</v>
      </c>
      <c r="C387" s="14" t="s">
        <v>729</v>
      </c>
      <c r="D387" s="15" t="s">
        <v>730</v>
      </c>
      <c r="E387" s="15" t="s">
        <v>695</v>
      </c>
      <c r="F387" s="16" t="s">
        <v>114</v>
      </c>
      <c r="G387" s="16" t="s">
        <v>647</v>
      </c>
      <c r="H387" s="16" t="s">
        <v>34</v>
      </c>
      <c r="I387" s="16" t="s">
        <v>101</v>
      </c>
      <c r="J387" s="17">
        <f>301882*10%</f>
        <v>30188.2</v>
      </c>
    </row>
    <row r="388" spans="1:10" x14ac:dyDescent="0.25">
      <c r="B388" s="13" t="s">
        <v>448</v>
      </c>
      <c r="C388" s="14" t="s">
        <v>405</v>
      </c>
      <c r="D388" s="15" t="s">
        <v>730</v>
      </c>
      <c r="E388" s="15" t="s">
        <v>695</v>
      </c>
      <c r="F388" s="16" t="s">
        <v>410</v>
      </c>
      <c r="G388" s="16" t="s">
        <v>449</v>
      </c>
      <c r="H388" s="16" t="s">
        <v>34</v>
      </c>
      <c r="I388" s="16" t="s">
        <v>101</v>
      </c>
      <c r="J388" s="17">
        <f>250999*34%</f>
        <v>85339.66</v>
      </c>
    </row>
    <row r="389" spans="1:10" x14ac:dyDescent="0.25">
      <c r="B389" s="13" t="s">
        <v>22</v>
      </c>
      <c r="C389" s="14" t="s">
        <v>731</v>
      </c>
      <c r="D389" s="15" t="s">
        <v>732</v>
      </c>
      <c r="E389" s="15" t="s">
        <v>695</v>
      </c>
      <c r="F389" s="16" t="s">
        <v>22</v>
      </c>
      <c r="G389" s="16" t="s">
        <v>29</v>
      </c>
      <c r="H389" s="16" t="s">
        <v>27</v>
      </c>
      <c r="I389" s="16" t="s">
        <v>28</v>
      </c>
      <c r="J389" s="17">
        <v>1751</v>
      </c>
    </row>
    <row r="390" spans="1:10" x14ac:dyDescent="0.25">
      <c r="B390" s="13" t="s">
        <v>22</v>
      </c>
      <c r="C390" s="14" t="s">
        <v>731</v>
      </c>
      <c r="D390" s="15" t="s">
        <v>732</v>
      </c>
      <c r="E390" s="15" t="s">
        <v>695</v>
      </c>
      <c r="F390" s="16" t="s">
        <v>22</v>
      </c>
      <c r="G390" s="16" t="s">
        <v>26</v>
      </c>
      <c r="H390" s="16" t="s">
        <v>27</v>
      </c>
      <c r="I390" s="16" t="s">
        <v>28</v>
      </c>
      <c r="J390" s="17">
        <v>2412</v>
      </c>
    </row>
    <row r="391" spans="1:10" x14ac:dyDescent="0.25">
      <c r="B391" s="13" t="s">
        <v>22</v>
      </c>
      <c r="C391" s="14" t="s">
        <v>731</v>
      </c>
      <c r="D391" s="15" t="s">
        <v>732</v>
      </c>
      <c r="E391" s="15" t="s">
        <v>695</v>
      </c>
      <c r="F391" s="16" t="s">
        <v>22</v>
      </c>
      <c r="G391" s="16" t="s">
        <v>30</v>
      </c>
      <c r="H391" s="16" t="s">
        <v>27</v>
      </c>
      <c r="I391" s="16" t="s">
        <v>28</v>
      </c>
      <c r="J391" s="17">
        <v>2432</v>
      </c>
    </row>
    <row r="392" spans="1:10" x14ac:dyDescent="0.25">
      <c r="B392" s="13" t="s">
        <v>22</v>
      </c>
      <c r="C392" s="14" t="s">
        <v>733</v>
      </c>
      <c r="D392" s="15" t="s">
        <v>734</v>
      </c>
      <c r="E392" s="15" t="s">
        <v>695</v>
      </c>
      <c r="F392" s="16" t="s">
        <v>22</v>
      </c>
      <c r="G392" s="16" t="s">
        <v>30</v>
      </c>
      <c r="H392" s="16" t="s">
        <v>27</v>
      </c>
      <c r="I392" s="16" t="s">
        <v>28</v>
      </c>
      <c r="J392" s="17">
        <v>125</v>
      </c>
    </row>
    <row r="393" spans="1:10" x14ac:dyDescent="0.25">
      <c r="B393" s="13" t="s">
        <v>22</v>
      </c>
      <c r="C393" s="14" t="s">
        <v>733</v>
      </c>
      <c r="D393" s="15" t="s">
        <v>734</v>
      </c>
      <c r="E393" s="15" t="s">
        <v>695</v>
      </c>
      <c r="F393" s="16" t="s">
        <v>22</v>
      </c>
      <c r="G393" s="16" t="s">
        <v>26</v>
      </c>
      <c r="H393" s="16" t="s">
        <v>27</v>
      </c>
      <c r="I393" s="16" t="s">
        <v>28</v>
      </c>
      <c r="J393" s="17">
        <v>150</v>
      </c>
    </row>
    <row r="394" spans="1:10" x14ac:dyDescent="0.25">
      <c r="B394" s="13" t="s">
        <v>22</v>
      </c>
      <c r="C394" s="14" t="s">
        <v>733</v>
      </c>
      <c r="D394" s="15" t="s">
        <v>734</v>
      </c>
      <c r="E394" s="15" t="s">
        <v>695</v>
      </c>
      <c r="F394" s="16" t="s">
        <v>22</v>
      </c>
      <c r="G394" s="16" t="s">
        <v>29</v>
      </c>
      <c r="H394" s="16" t="s">
        <v>27</v>
      </c>
      <c r="I394" s="16" t="s">
        <v>28</v>
      </c>
      <c r="J394" s="17">
        <v>280</v>
      </c>
    </row>
    <row r="395" spans="1:10" x14ac:dyDescent="0.25">
      <c r="B395" s="13" t="s">
        <v>22</v>
      </c>
      <c r="C395" s="14" t="s">
        <v>733</v>
      </c>
      <c r="D395" s="15" t="s">
        <v>734</v>
      </c>
      <c r="E395" s="15" t="s">
        <v>695</v>
      </c>
      <c r="F395" s="16" t="s">
        <v>22</v>
      </c>
      <c r="G395" s="16" t="s">
        <v>26</v>
      </c>
      <c r="H395" s="16" t="s">
        <v>27</v>
      </c>
      <c r="I395" s="16" t="s">
        <v>28</v>
      </c>
      <c r="J395" s="17">
        <v>535</v>
      </c>
    </row>
    <row r="396" spans="1:10" x14ac:dyDescent="0.25">
      <c r="B396" s="13" t="s">
        <v>22</v>
      </c>
      <c r="C396" s="14" t="s">
        <v>733</v>
      </c>
      <c r="D396" s="15" t="s">
        <v>734</v>
      </c>
      <c r="E396" s="15" t="s">
        <v>695</v>
      </c>
      <c r="F396" s="16" t="s">
        <v>22</v>
      </c>
      <c r="G396" s="16" t="s">
        <v>29</v>
      </c>
      <c r="H396" s="16" t="s">
        <v>27</v>
      </c>
      <c r="I396" s="16" t="s">
        <v>28</v>
      </c>
      <c r="J396" s="17">
        <v>810</v>
      </c>
    </row>
    <row r="397" spans="1:10" x14ac:dyDescent="0.25">
      <c r="B397" s="13" t="s">
        <v>22</v>
      </c>
      <c r="C397" s="14" t="s">
        <v>733</v>
      </c>
      <c r="D397" s="15" t="s">
        <v>734</v>
      </c>
      <c r="E397" s="15" t="s">
        <v>695</v>
      </c>
      <c r="F397" s="16" t="s">
        <v>22</v>
      </c>
      <c r="G397" s="16" t="s">
        <v>30</v>
      </c>
      <c r="H397" s="16" t="s">
        <v>27</v>
      </c>
      <c r="I397" s="16" t="s">
        <v>28</v>
      </c>
      <c r="J397" s="17">
        <v>1080</v>
      </c>
    </row>
    <row r="398" spans="1:10" ht="29.25" x14ac:dyDescent="0.25">
      <c r="B398" s="45">
        <v>12166</v>
      </c>
      <c r="C398" s="46" t="s">
        <v>735</v>
      </c>
      <c r="D398" s="46" t="s">
        <v>734</v>
      </c>
      <c r="E398" s="46" t="s">
        <v>695</v>
      </c>
      <c r="F398" s="19" t="s">
        <v>394</v>
      </c>
      <c r="G398" s="47" t="s">
        <v>736</v>
      </c>
      <c r="H398" s="27" t="s">
        <v>34</v>
      </c>
      <c r="I398" s="27" t="s">
        <v>41</v>
      </c>
      <c r="J398" s="17">
        <v>3504</v>
      </c>
    </row>
    <row r="399" spans="1:10" ht="29.25" x14ac:dyDescent="0.25">
      <c r="B399" s="45">
        <v>12166</v>
      </c>
      <c r="C399" s="46" t="s">
        <v>737</v>
      </c>
      <c r="D399" s="46" t="s">
        <v>734</v>
      </c>
      <c r="E399" s="46" t="s">
        <v>695</v>
      </c>
      <c r="F399" s="19" t="s">
        <v>394</v>
      </c>
      <c r="G399" s="47" t="s">
        <v>736</v>
      </c>
      <c r="H399" s="27" t="s">
        <v>34</v>
      </c>
      <c r="I399" s="27" t="s">
        <v>41</v>
      </c>
      <c r="J399" s="17">
        <v>8175</v>
      </c>
    </row>
    <row r="400" spans="1:10" x14ac:dyDescent="0.25">
      <c r="A400" s="29"/>
      <c r="B400" s="48" t="s">
        <v>22</v>
      </c>
      <c r="C400" s="19" t="s">
        <v>733</v>
      </c>
      <c r="D400" s="20" t="s">
        <v>734</v>
      </c>
      <c r="E400" s="20" t="s">
        <v>695</v>
      </c>
      <c r="F400" s="21" t="s">
        <v>22</v>
      </c>
      <c r="G400" s="21" t="s">
        <v>35</v>
      </c>
      <c r="H400" s="21" t="s">
        <v>27</v>
      </c>
      <c r="I400" s="21" t="s">
        <v>28</v>
      </c>
      <c r="J400" s="22">
        <v>200</v>
      </c>
    </row>
    <row r="401" spans="1:10" x14ac:dyDescent="0.25">
      <c r="A401" s="29"/>
      <c r="B401" s="48" t="s">
        <v>22</v>
      </c>
      <c r="C401" s="19" t="s">
        <v>733</v>
      </c>
      <c r="D401" s="20" t="s">
        <v>734</v>
      </c>
      <c r="E401" s="20" t="s">
        <v>695</v>
      </c>
      <c r="F401" s="21" t="s">
        <v>22</v>
      </c>
      <c r="G401" s="21" t="s">
        <v>35</v>
      </c>
      <c r="H401" s="21" t="s">
        <v>27</v>
      </c>
      <c r="I401" s="21" t="s">
        <v>28</v>
      </c>
      <c r="J401" s="22">
        <v>1740</v>
      </c>
    </row>
    <row r="402" spans="1:10" x14ac:dyDescent="0.25">
      <c r="A402" s="29"/>
      <c r="B402" s="34" t="s">
        <v>22</v>
      </c>
      <c r="C402" s="14" t="s">
        <v>738</v>
      </c>
      <c r="D402" s="15" t="s">
        <v>739</v>
      </c>
      <c r="E402" s="15" t="s">
        <v>695</v>
      </c>
      <c r="F402" s="16" t="s">
        <v>22</v>
      </c>
      <c r="G402" s="16" t="s">
        <v>29</v>
      </c>
      <c r="H402" s="16" t="s">
        <v>27</v>
      </c>
      <c r="I402" s="16" t="s">
        <v>28</v>
      </c>
      <c r="J402" s="17">
        <v>200</v>
      </c>
    </row>
    <row r="403" spans="1:10" x14ac:dyDescent="0.25">
      <c r="A403" s="29"/>
      <c r="B403" s="34" t="s">
        <v>22</v>
      </c>
      <c r="C403" s="14" t="s">
        <v>738</v>
      </c>
      <c r="D403" s="15" t="s">
        <v>739</v>
      </c>
      <c r="E403" s="15" t="s">
        <v>695</v>
      </c>
      <c r="F403" s="16" t="s">
        <v>22</v>
      </c>
      <c r="G403" s="16" t="s">
        <v>26</v>
      </c>
      <c r="H403" s="16" t="s">
        <v>27</v>
      </c>
      <c r="I403" s="16" t="s">
        <v>28</v>
      </c>
      <c r="J403" s="17">
        <v>500</v>
      </c>
    </row>
    <row r="404" spans="1:10" s="32" customFormat="1" ht="16.5" x14ac:dyDescent="0.3">
      <c r="A404" s="31"/>
      <c r="B404" s="13" t="s">
        <v>740</v>
      </c>
      <c r="C404" s="14" t="s">
        <v>741</v>
      </c>
      <c r="D404" s="15" t="s">
        <v>739</v>
      </c>
      <c r="E404" s="15" t="s">
        <v>695</v>
      </c>
      <c r="F404" s="16" t="s">
        <v>742</v>
      </c>
      <c r="G404" s="16" t="s">
        <v>743</v>
      </c>
      <c r="H404" s="16" t="s">
        <v>73</v>
      </c>
      <c r="I404" s="16" t="s">
        <v>41</v>
      </c>
      <c r="J404" s="17">
        <v>500</v>
      </c>
    </row>
    <row r="405" spans="1:10" s="32" customFormat="1" ht="30" x14ac:dyDescent="0.3">
      <c r="A405" s="31"/>
      <c r="B405" s="13" t="s">
        <v>744</v>
      </c>
      <c r="C405" s="14" t="s">
        <v>741</v>
      </c>
      <c r="D405" s="15" t="s">
        <v>739</v>
      </c>
      <c r="E405" s="15" t="s">
        <v>695</v>
      </c>
      <c r="F405" s="16" t="s">
        <v>123</v>
      </c>
      <c r="G405" s="16" t="s">
        <v>745</v>
      </c>
      <c r="H405" s="16" t="s">
        <v>19</v>
      </c>
      <c r="I405" s="16" t="s">
        <v>41</v>
      </c>
      <c r="J405" s="17">
        <v>50000</v>
      </c>
    </row>
    <row r="406" spans="1:10" s="32" customFormat="1" ht="30" x14ac:dyDescent="0.3">
      <c r="A406" s="31"/>
      <c r="B406" s="13" t="s">
        <v>746</v>
      </c>
      <c r="C406" s="14" t="s">
        <v>738</v>
      </c>
      <c r="D406" s="15" t="s">
        <v>739</v>
      </c>
      <c r="E406" s="15" t="s">
        <v>695</v>
      </c>
      <c r="F406" s="16" t="s">
        <v>123</v>
      </c>
      <c r="G406" s="16" t="s">
        <v>747</v>
      </c>
      <c r="H406" s="16" t="s">
        <v>19</v>
      </c>
      <c r="I406" s="16" t="s">
        <v>748</v>
      </c>
      <c r="J406" s="17">
        <v>1637783.36</v>
      </c>
    </row>
    <row r="407" spans="1:10" x14ac:dyDescent="0.25">
      <c r="B407" s="6" t="s">
        <v>749</v>
      </c>
      <c r="C407" s="6"/>
      <c r="D407" s="6"/>
      <c r="E407" s="6"/>
      <c r="F407" s="6"/>
      <c r="G407" s="6"/>
      <c r="H407" s="7" t="s">
        <v>3</v>
      </c>
      <c r="I407" s="7"/>
      <c r="J407" s="8">
        <f>SUM(J410:J453)</f>
        <v>6213695.1299999999</v>
      </c>
    </row>
    <row r="408" spans="1:10" x14ac:dyDescent="0.25">
      <c r="B408" s="6"/>
      <c r="C408" s="6"/>
      <c r="D408" s="6"/>
      <c r="E408" s="6"/>
      <c r="F408" s="6"/>
      <c r="G408" s="6"/>
      <c r="H408" s="7"/>
      <c r="I408" s="7"/>
      <c r="J408" s="9"/>
    </row>
    <row r="409" spans="1:10" ht="29.25" x14ac:dyDescent="0.25">
      <c r="B409" s="10" t="s">
        <v>4</v>
      </c>
      <c r="C409" s="10" t="s">
        <v>5</v>
      </c>
      <c r="D409" s="10" t="s">
        <v>6</v>
      </c>
      <c r="E409" s="10" t="s">
        <v>7</v>
      </c>
      <c r="F409" s="10" t="s">
        <v>8</v>
      </c>
      <c r="G409" s="10" t="s">
        <v>9</v>
      </c>
      <c r="H409" s="10" t="s">
        <v>10</v>
      </c>
      <c r="I409" s="10" t="s">
        <v>11</v>
      </c>
      <c r="J409" s="11" t="s">
        <v>12</v>
      </c>
    </row>
    <row r="410" spans="1:10" x14ac:dyDescent="0.25">
      <c r="B410" s="13" t="s">
        <v>22</v>
      </c>
      <c r="C410" s="14" t="s">
        <v>750</v>
      </c>
      <c r="D410" s="15" t="s">
        <v>751</v>
      </c>
      <c r="E410" s="15" t="s">
        <v>109</v>
      </c>
      <c r="F410" s="16" t="s">
        <v>22</v>
      </c>
      <c r="G410" s="16" t="s">
        <v>29</v>
      </c>
      <c r="H410" s="16" t="s">
        <v>27</v>
      </c>
      <c r="I410" s="16" t="s">
        <v>28</v>
      </c>
      <c r="J410" s="17">
        <v>700</v>
      </c>
    </row>
    <row r="411" spans="1:10" x14ac:dyDescent="0.25">
      <c r="B411" s="13" t="s">
        <v>22</v>
      </c>
      <c r="C411" s="14" t="s">
        <v>750</v>
      </c>
      <c r="D411" s="15" t="s">
        <v>751</v>
      </c>
      <c r="E411" s="15" t="s">
        <v>109</v>
      </c>
      <c r="F411" s="16" t="s">
        <v>22</v>
      </c>
      <c r="G411" s="16" t="s">
        <v>26</v>
      </c>
      <c r="H411" s="16" t="s">
        <v>27</v>
      </c>
      <c r="I411" s="16" t="s">
        <v>28</v>
      </c>
      <c r="J411" s="17">
        <v>17250</v>
      </c>
    </row>
    <row r="412" spans="1:10" x14ac:dyDescent="0.25">
      <c r="B412" s="13" t="s">
        <v>22</v>
      </c>
      <c r="C412" s="14" t="s">
        <v>750</v>
      </c>
      <c r="D412" s="15" t="s">
        <v>751</v>
      </c>
      <c r="E412" s="15" t="s">
        <v>109</v>
      </c>
      <c r="F412" s="16" t="s">
        <v>22</v>
      </c>
      <c r="G412" s="16" t="s">
        <v>30</v>
      </c>
      <c r="H412" s="16" t="s">
        <v>27</v>
      </c>
      <c r="I412" s="16" t="s">
        <v>28</v>
      </c>
      <c r="J412" s="17">
        <v>20585</v>
      </c>
    </row>
    <row r="413" spans="1:10" ht="29.25" x14ac:dyDescent="0.25">
      <c r="B413" s="13" t="s">
        <v>752</v>
      </c>
      <c r="C413" s="14" t="s">
        <v>750</v>
      </c>
      <c r="D413" s="15" t="s">
        <v>751</v>
      </c>
      <c r="E413" s="15" t="s">
        <v>109</v>
      </c>
      <c r="F413" s="16" t="s">
        <v>753</v>
      </c>
      <c r="G413" s="16" t="s">
        <v>754</v>
      </c>
      <c r="H413" s="16" t="s">
        <v>34</v>
      </c>
      <c r="I413" s="16" t="s">
        <v>28</v>
      </c>
      <c r="J413" s="17">
        <v>75097</v>
      </c>
    </row>
    <row r="414" spans="1:10" ht="29.25" x14ac:dyDescent="0.25">
      <c r="B414" s="49" t="s">
        <v>755</v>
      </c>
      <c r="C414" s="19" t="s">
        <v>750</v>
      </c>
      <c r="D414" s="19" t="s">
        <v>751</v>
      </c>
      <c r="E414" s="19" t="s">
        <v>109</v>
      </c>
      <c r="F414" s="19" t="s">
        <v>753</v>
      </c>
      <c r="G414" s="19" t="s">
        <v>754</v>
      </c>
      <c r="H414" s="19" t="s">
        <v>34</v>
      </c>
      <c r="I414" s="19" t="s">
        <v>28</v>
      </c>
      <c r="J414" s="22">
        <v>7500</v>
      </c>
    </row>
    <row r="415" spans="1:10" x14ac:dyDescent="0.25">
      <c r="B415" s="18" t="s">
        <v>22</v>
      </c>
      <c r="C415" s="19" t="s">
        <v>750</v>
      </c>
      <c r="D415" s="20" t="s">
        <v>751</v>
      </c>
      <c r="E415" s="20" t="s">
        <v>109</v>
      </c>
      <c r="F415" s="21" t="s">
        <v>22</v>
      </c>
      <c r="G415" s="21" t="s">
        <v>35</v>
      </c>
      <c r="H415" s="21" t="s">
        <v>27</v>
      </c>
      <c r="I415" s="21" t="s">
        <v>28</v>
      </c>
      <c r="J415" s="22">
        <v>26625</v>
      </c>
    </row>
    <row r="416" spans="1:10" x14ac:dyDescent="0.25">
      <c r="B416" s="13" t="s">
        <v>756</v>
      </c>
      <c r="C416" s="14" t="s">
        <v>757</v>
      </c>
      <c r="D416" s="15" t="s">
        <v>758</v>
      </c>
      <c r="E416" s="15" t="s">
        <v>109</v>
      </c>
      <c r="F416" s="16" t="s">
        <v>759</v>
      </c>
      <c r="G416" s="16" t="s">
        <v>760</v>
      </c>
      <c r="H416" s="16" t="s">
        <v>73</v>
      </c>
      <c r="I416" s="16" t="s">
        <v>28</v>
      </c>
      <c r="J416" s="17">
        <f>13228*50%</f>
        <v>6614</v>
      </c>
    </row>
    <row r="417" spans="2:10" x14ac:dyDescent="0.25">
      <c r="B417" s="13" t="s">
        <v>756</v>
      </c>
      <c r="C417" s="14" t="s">
        <v>761</v>
      </c>
      <c r="D417" s="15" t="s">
        <v>758</v>
      </c>
      <c r="E417" s="15" t="s">
        <v>109</v>
      </c>
      <c r="F417" s="16" t="s">
        <v>759</v>
      </c>
      <c r="G417" s="16" t="s">
        <v>760</v>
      </c>
      <c r="H417" s="16" t="s">
        <v>73</v>
      </c>
      <c r="I417" s="16" t="s">
        <v>28</v>
      </c>
      <c r="J417" s="17">
        <f>13228*50%</f>
        <v>6614</v>
      </c>
    </row>
    <row r="418" spans="2:10" x14ac:dyDescent="0.25">
      <c r="B418" s="13" t="s">
        <v>762</v>
      </c>
      <c r="C418" s="14" t="s">
        <v>757</v>
      </c>
      <c r="D418" s="15" t="s">
        <v>758</v>
      </c>
      <c r="E418" s="15" t="s">
        <v>109</v>
      </c>
      <c r="F418" s="16" t="s">
        <v>759</v>
      </c>
      <c r="G418" s="16" t="s">
        <v>763</v>
      </c>
      <c r="H418" s="16" t="s">
        <v>73</v>
      </c>
      <c r="I418" s="16" t="s">
        <v>28</v>
      </c>
      <c r="J418" s="17">
        <v>10481</v>
      </c>
    </row>
    <row r="419" spans="2:10" x14ac:dyDescent="0.25">
      <c r="B419" s="13" t="s">
        <v>762</v>
      </c>
      <c r="C419" s="14" t="s">
        <v>764</v>
      </c>
      <c r="D419" s="15" t="s">
        <v>758</v>
      </c>
      <c r="E419" s="15" t="s">
        <v>109</v>
      </c>
      <c r="F419" s="16" t="s">
        <v>759</v>
      </c>
      <c r="G419" s="16" t="s">
        <v>763</v>
      </c>
      <c r="H419" s="16" t="s">
        <v>73</v>
      </c>
      <c r="I419" s="16" t="s">
        <v>28</v>
      </c>
      <c r="J419" s="17">
        <v>10481</v>
      </c>
    </row>
    <row r="420" spans="2:10" x14ac:dyDescent="0.25">
      <c r="B420" s="13" t="s">
        <v>765</v>
      </c>
      <c r="C420" s="14" t="s">
        <v>757</v>
      </c>
      <c r="D420" s="15" t="s">
        <v>758</v>
      </c>
      <c r="E420" s="15" t="s">
        <v>109</v>
      </c>
      <c r="F420" s="16" t="s">
        <v>759</v>
      </c>
      <c r="G420" s="16" t="s">
        <v>766</v>
      </c>
      <c r="H420" s="16" t="s">
        <v>73</v>
      </c>
      <c r="I420" s="16" t="s">
        <v>28</v>
      </c>
      <c r="J420" s="17">
        <f>22587*50%</f>
        <v>11293.5</v>
      </c>
    </row>
    <row r="421" spans="2:10" x14ac:dyDescent="0.25">
      <c r="B421" s="13" t="s">
        <v>765</v>
      </c>
      <c r="C421" s="14" t="s">
        <v>761</v>
      </c>
      <c r="D421" s="15" t="s">
        <v>758</v>
      </c>
      <c r="E421" s="15" t="s">
        <v>109</v>
      </c>
      <c r="F421" s="16" t="s">
        <v>759</v>
      </c>
      <c r="G421" s="16" t="s">
        <v>766</v>
      </c>
      <c r="H421" s="16" t="s">
        <v>73</v>
      </c>
      <c r="I421" s="16" t="s">
        <v>28</v>
      </c>
      <c r="J421" s="17">
        <f>22587*50%</f>
        <v>11293.5</v>
      </c>
    </row>
    <row r="422" spans="2:10" x14ac:dyDescent="0.25">
      <c r="B422" s="13" t="s">
        <v>767</v>
      </c>
      <c r="C422" s="14" t="s">
        <v>757</v>
      </c>
      <c r="D422" s="15" t="s">
        <v>758</v>
      </c>
      <c r="E422" s="15" t="s">
        <v>109</v>
      </c>
      <c r="F422" s="16" t="s">
        <v>759</v>
      </c>
      <c r="G422" s="16" t="s">
        <v>768</v>
      </c>
      <c r="H422" s="16" t="s">
        <v>73</v>
      </c>
      <c r="I422" s="16" t="s">
        <v>28</v>
      </c>
      <c r="J422" s="17">
        <f>40073*50%</f>
        <v>20036.5</v>
      </c>
    </row>
    <row r="423" spans="2:10" x14ac:dyDescent="0.25">
      <c r="B423" s="13" t="s">
        <v>767</v>
      </c>
      <c r="C423" s="14" t="s">
        <v>761</v>
      </c>
      <c r="D423" s="15" t="s">
        <v>758</v>
      </c>
      <c r="E423" s="15" t="s">
        <v>109</v>
      </c>
      <c r="F423" s="16" t="s">
        <v>759</v>
      </c>
      <c r="G423" s="16" t="s">
        <v>768</v>
      </c>
      <c r="H423" s="16" t="s">
        <v>73</v>
      </c>
      <c r="I423" s="16" t="s">
        <v>28</v>
      </c>
      <c r="J423" s="17">
        <f>40073*50%</f>
        <v>20036.5</v>
      </c>
    </row>
    <row r="424" spans="2:10" x14ac:dyDescent="0.25">
      <c r="B424" s="13" t="s">
        <v>765</v>
      </c>
      <c r="C424" s="14" t="s">
        <v>757</v>
      </c>
      <c r="D424" s="15" t="s">
        <v>758</v>
      </c>
      <c r="E424" s="15" t="s">
        <v>109</v>
      </c>
      <c r="F424" s="16" t="s">
        <v>759</v>
      </c>
      <c r="G424" s="16" t="s">
        <v>766</v>
      </c>
      <c r="H424" s="16" t="s">
        <v>73</v>
      </c>
      <c r="I424" s="16" t="s">
        <v>28</v>
      </c>
      <c r="J424" s="17">
        <f>168436*50%</f>
        <v>84218</v>
      </c>
    </row>
    <row r="425" spans="2:10" x14ac:dyDescent="0.25">
      <c r="B425" s="13" t="s">
        <v>765</v>
      </c>
      <c r="C425" s="14" t="s">
        <v>761</v>
      </c>
      <c r="D425" s="15" t="s">
        <v>758</v>
      </c>
      <c r="E425" s="15" t="s">
        <v>109</v>
      </c>
      <c r="F425" s="16" t="s">
        <v>759</v>
      </c>
      <c r="G425" s="16" t="s">
        <v>766</v>
      </c>
      <c r="H425" s="16" t="s">
        <v>73</v>
      </c>
      <c r="I425" s="16" t="s">
        <v>28</v>
      </c>
      <c r="J425" s="17">
        <f>168436*50%</f>
        <v>84218</v>
      </c>
    </row>
    <row r="426" spans="2:10" x14ac:dyDescent="0.25">
      <c r="B426" s="13" t="s">
        <v>769</v>
      </c>
      <c r="C426" s="14" t="s">
        <v>757</v>
      </c>
      <c r="D426" s="15" t="s">
        <v>758</v>
      </c>
      <c r="E426" s="15" t="s">
        <v>109</v>
      </c>
      <c r="F426" s="16" t="s">
        <v>759</v>
      </c>
      <c r="G426" s="16" t="s">
        <v>770</v>
      </c>
      <c r="H426" s="16" t="s">
        <v>73</v>
      </c>
      <c r="I426" s="16" t="s">
        <v>28</v>
      </c>
      <c r="J426" s="17">
        <f>680034*50%</f>
        <v>340017</v>
      </c>
    </row>
    <row r="427" spans="2:10" x14ac:dyDescent="0.25">
      <c r="B427" s="13" t="s">
        <v>769</v>
      </c>
      <c r="C427" s="14" t="s">
        <v>761</v>
      </c>
      <c r="D427" s="15" t="s">
        <v>758</v>
      </c>
      <c r="E427" s="15" t="s">
        <v>109</v>
      </c>
      <c r="F427" s="16" t="s">
        <v>759</v>
      </c>
      <c r="G427" s="16" t="s">
        <v>770</v>
      </c>
      <c r="H427" s="16" t="s">
        <v>73</v>
      </c>
      <c r="I427" s="16" t="s">
        <v>28</v>
      </c>
      <c r="J427" s="17">
        <f>680034*50%</f>
        <v>340017</v>
      </c>
    </row>
    <row r="428" spans="2:10" x14ac:dyDescent="0.25">
      <c r="B428" s="33" t="s">
        <v>771</v>
      </c>
      <c r="C428" s="19" t="s">
        <v>772</v>
      </c>
      <c r="D428" s="21" t="s">
        <v>758</v>
      </c>
      <c r="E428" s="21" t="s">
        <v>109</v>
      </c>
      <c r="F428" s="21" t="s">
        <v>773</v>
      </c>
      <c r="G428" s="21" t="s">
        <v>774</v>
      </c>
      <c r="H428" s="21" t="s">
        <v>73</v>
      </c>
      <c r="I428" s="21" t="s">
        <v>775</v>
      </c>
      <c r="J428" s="22">
        <v>84004</v>
      </c>
    </row>
    <row r="429" spans="2:10" x14ac:dyDescent="0.25">
      <c r="B429" s="33" t="s">
        <v>771</v>
      </c>
      <c r="C429" s="19" t="s">
        <v>757</v>
      </c>
      <c r="D429" s="21" t="s">
        <v>758</v>
      </c>
      <c r="E429" s="21" t="s">
        <v>109</v>
      </c>
      <c r="F429" s="21" t="s">
        <v>773</v>
      </c>
      <c r="G429" s="21" t="s">
        <v>774</v>
      </c>
      <c r="H429" s="21" t="s">
        <v>73</v>
      </c>
      <c r="I429" s="21" t="s">
        <v>775</v>
      </c>
      <c r="J429" s="22">
        <v>84004</v>
      </c>
    </row>
    <row r="430" spans="2:10" ht="29.25" x14ac:dyDescent="0.25">
      <c r="B430" s="13" t="s">
        <v>776</v>
      </c>
      <c r="C430" s="14" t="s">
        <v>777</v>
      </c>
      <c r="D430" s="15" t="s">
        <v>778</v>
      </c>
      <c r="E430" s="15" t="s">
        <v>109</v>
      </c>
      <c r="F430" s="16" t="s">
        <v>779</v>
      </c>
      <c r="G430" s="16" t="s">
        <v>780</v>
      </c>
      <c r="H430" s="16" t="s">
        <v>34</v>
      </c>
      <c r="I430" s="16" t="s">
        <v>101</v>
      </c>
      <c r="J430" s="17">
        <f>14574.83*50%</f>
        <v>7287.415</v>
      </c>
    </row>
    <row r="431" spans="2:10" ht="29.25" x14ac:dyDescent="0.25">
      <c r="B431" s="13" t="s">
        <v>776</v>
      </c>
      <c r="C431" s="14" t="s">
        <v>781</v>
      </c>
      <c r="D431" s="15" t="s">
        <v>778</v>
      </c>
      <c r="E431" s="15" t="s">
        <v>109</v>
      </c>
      <c r="F431" s="16" t="s">
        <v>779</v>
      </c>
      <c r="G431" s="16" t="s">
        <v>780</v>
      </c>
      <c r="H431" s="16" t="s">
        <v>34</v>
      </c>
      <c r="I431" s="16" t="s">
        <v>101</v>
      </c>
      <c r="J431" s="17">
        <f>14574.83*50%</f>
        <v>7287.415</v>
      </c>
    </row>
    <row r="432" spans="2:10" ht="29.25" x14ac:dyDescent="0.25">
      <c r="B432" s="13" t="s">
        <v>782</v>
      </c>
      <c r="C432" s="14" t="s">
        <v>781</v>
      </c>
      <c r="D432" s="15" t="s">
        <v>778</v>
      </c>
      <c r="E432" s="15" t="s">
        <v>109</v>
      </c>
      <c r="F432" s="16" t="s">
        <v>783</v>
      </c>
      <c r="G432" s="16" t="s">
        <v>784</v>
      </c>
      <c r="H432" s="16" t="s">
        <v>34</v>
      </c>
      <c r="I432" s="16" t="s">
        <v>101</v>
      </c>
      <c r="J432" s="17">
        <v>30107</v>
      </c>
    </row>
    <row r="433" spans="1:10" ht="29.25" x14ac:dyDescent="0.25">
      <c r="B433" s="13" t="s">
        <v>646</v>
      </c>
      <c r="C433" s="14" t="s">
        <v>777</v>
      </c>
      <c r="D433" s="15" t="s">
        <v>778</v>
      </c>
      <c r="E433" s="15" t="s">
        <v>109</v>
      </c>
      <c r="F433" s="16" t="s">
        <v>114</v>
      </c>
      <c r="G433" s="16" t="s">
        <v>647</v>
      </c>
      <c r="H433" s="16" t="s">
        <v>34</v>
      </c>
      <c r="I433" s="16" t="s">
        <v>101</v>
      </c>
      <c r="J433" s="17">
        <f>301882*46%</f>
        <v>138865.72</v>
      </c>
    </row>
    <row r="434" spans="1:10" x14ac:dyDescent="0.25">
      <c r="B434" s="13" t="s">
        <v>650</v>
      </c>
      <c r="C434" s="14" t="s">
        <v>785</v>
      </c>
      <c r="D434" s="15" t="s">
        <v>778</v>
      </c>
      <c r="E434" s="15" t="s">
        <v>109</v>
      </c>
      <c r="F434" s="16" t="s">
        <v>114</v>
      </c>
      <c r="G434" s="16" t="s">
        <v>652</v>
      </c>
      <c r="H434" s="16" t="s">
        <v>34</v>
      </c>
      <c r="I434" s="16" t="s">
        <v>101</v>
      </c>
      <c r="J434" s="17">
        <f>639438*60%</f>
        <v>383662.8</v>
      </c>
    </row>
    <row r="435" spans="1:10" x14ac:dyDescent="0.25">
      <c r="B435" s="13" t="s">
        <v>653</v>
      </c>
      <c r="C435" s="14" t="s">
        <v>785</v>
      </c>
      <c r="D435" s="15" t="s">
        <v>778</v>
      </c>
      <c r="E435" s="15" t="s">
        <v>109</v>
      </c>
      <c r="F435" s="16" t="s">
        <v>114</v>
      </c>
      <c r="G435" s="16" t="s">
        <v>654</v>
      </c>
      <c r="H435" s="16" t="s">
        <v>34</v>
      </c>
      <c r="I435" s="16" t="s">
        <v>116</v>
      </c>
      <c r="J435" s="17">
        <f>750006*60%</f>
        <v>450003.6</v>
      </c>
    </row>
    <row r="436" spans="1:10" ht="29.25" x14ac:dyDescent="0.25">
      <c r="B436" s="13" t="s">
        <v>786</v>
      </c>
      <c r="C436" s="14" t="s">
        <v>787</v>
      </c>
      <c r="D436" s="15" t="s">
        <v>778</v>
      </c>
      <c r="E436" s="15" t="s">
        <v>109</v>
      </c>
      <c r="F436" s="16" t="s">
        <v>788</v>
      </c>
      <c r="G436" s="16" t="s">
        <v>789</v>
      </c>
      <c r="H436" s="16" t="s">
        <v>34</v>
      </c>
      <c r="I436" s="16" t="s">
        <v>101</v>
      </c>
      <c r="J436" s="17">
        <f>1040033*50%</f>
        <v>520016.5</v>
      </c>
    </row>
    <row r="437" spans="1:10" ht="29.25" x14ac:dyDescent="0.25">
      <c r="B437" s="13" t="s">
        <v>786</v>
      </c>
      <c r="C437" s="14" t="s">
        <v>781</v>
      </c>
      <c r="D437" s="15" t="s">
        <v>778</v>
      </c>
      <c r="E437" s="15" t="s">
        <v>109</v>
      </c>
      <c r="F437" s="16" t="s">
        <v>788</v>
      </c>
      <c r="G437" s="16" t="s">
        <v>789</v>
      </c>
      <c r="H437" s="16" t="s">
        <v>34</v>
      </c>
      <c r="I437" s="16" t="s">
        <v>101</v>
      </c>
      <c r="J437" s="17">
        <f>1040033*50%</f>
        <v>520016.5</v>
      </c>
    </row>
    <row r="438" spans="1:10" ht="43.5" x14ac:dyDescent="0.25">
      <c r="B438" s="13" t="s">
        <v>655</v>
      </c>
      <c r="C438" s="14" t="s">
        <v>785</v>
      </c>
      <c r="D438" s="15" t="s">
        <v>778</v>
      </c>
      <c r="E438" s="15" t="s">
        <v>109</v>
      </c>
      <c r="F438" s="16" t="s">
        <v>656</v>
      </c>
      <c r="G438" s="16" t="s">
        <v>657</v>
      </c>
      <c r="H438" s="16" t="s">
        <v>88</v>
      </c>
      <c r="I438" s="16" t="s">
        <v>790</v>
      </c>
      <c r="J438" s="17">
        <v>15984</v>
      </c>
    </row>
    <row r="439" spans="1:10" ht="29.25" x14ac:dyDescent="0.25">
      <c r="B439" s="33" t="s">
        <v>791</v>
      </c>
      <c r="C439" s="19" t="s">
        <v>777</v>
      </c>
      <c r="D439" s="21" t="s">
        <v>778</v>
      </c>
      <c r="E439" s="21" t="s">
        <v>109</v>
      </c>
      <c r="F439" s="21" t="s">
        <v>783</v>
      </c>
      <c r="G439" s="21" t="s">
        <v>792</v>
      </c>
      <c r="H439" s="21" t="s">
        <v>34</v>
      </c>
      <c r="I439" s="21" t="s">
        <v>101</v>
      </c>
      <c r="J439" s="22">
        <v>14153</v>
      </c>
    </row>
    <row r="440" spans="1:10" ht="29.25" x14ac:dyDescent="0.25">
      <c r="B440" s="33" t="s">
        <v>791</v>
      </c>
      <c r="C440" s="19" t="s">
        <v>781</v>
      </c>
      <c r="D440" s="21" t="s">
        <v>778</v>
      </c>
      <c r="E440" s="21" t="s">
        <v>109</v>
      </c>
      <c r="F440" s="21" t="s">
        <v>783</v>
      </c>
      <c r="G440" s="21" t="s">
        <v>792</v>
      </c>
      <c r="H440" s="21" t="s">
        <v>34</v>
      </c>
      <c r="I440" s="21" t="s">
        <v>101</v>
      </c>
      <c r="J440" s="22">
        <v>14153</v>
      </c>
    </row>
    <row r="441" spans="1:10" ht="29.25" x14ac:dyDescent="0.25">
      <c r="B441" s="13" t="s">
        <v>793</v>
      </c>
      <c r="C441" s="14" t="s">
        <v>794</v>
      </c>
      <c r="D441" s="15" t="s">
        <v>795</v>
      </c>
      <c r="E441" s="15" t="s">
        <v>109</v>
      </c>
      <c r="F441" s="16" t="s">
        <v>796</v>
      </c>
      <c r="G441" s="16" t="s">
        <v>797</v>
      </c>
      <c r="H441" s="16" t="s">
        <v>73</v>
      </c>
      <c r="I441" s="16" t="s">
        <v>101</v>
      </c>
      <c r="J441" s="17">
        <v>10000</v>
      </c>
    </row>
    <row r="442" spans="1:10" ht="43.5" x14ac:dyDescent="0.25">
      <c r="A442" s="29"/>
      <c r="B442" s="34" t="s">
        <v>798</v>
      </c>
      <c r="C442" s="14" t="s">
        <v>794</v>
      </c>
      <c r="D442" s="15" t="s">
        <v>795</v>
      </c>
      <c r="E442" s="15" t="s">
        <v>109</v>
      </c>
      <c r="F442" s="16" t="s">
        <v>799</v>
      </c>
      <c r="G442" s="16" t="s">
        <v>800</v>
      </c>
      <c r="H442" s="16" t="s">
        <v>73</v>
      </c>
      <c r="I442" s="16" t="s">
        <v>101</v>
      </c>
      <c r="J442" s="17">
        <v>50000</v>
      </c>
    </row>
    <row r="443" spans="1:10" s="32" customFormat="1" ht="44.25" x14ac:dyDescent="0.3">
      <c r="A443" s="31"/>
      <c r="B443" s="13" t="s">
        <v>801</v>
      </c>
      <c r="C443" s="14" t="s">
        <v>794</v>
      </c>
      <c r="D443" s="15" t="s">
        <v>795</v>
      </c>
      <c r="E443" s="15" t="s">
        <v>109</v>
      </c>
      <c r="F443" s="16" t="s">
        <v>802</v>
      </c>
      <c r="G443" s="16" t="s">
        <v>803</v>
      </c>
      <c r="H443" s="16" t="s">
        <v>88</v>
      </c>
      <c r="I443" s="16" t="s">
        <v>101</v>
      </c>
      <c r="J443" s="17">
        <v>140000</v>
      </c>
    </row>
    <row r="444" spans="1:10" s="32" customFormat="1" ht="30" x14ac:dyDescent="0.3">
      <c r="A444" s="31"/>
      <c r="B444" s="13" t="s">
        <v>804</v>
      </c>
      <c r="C444" s="14" t="s">
        <v>794</v>
      </c>
      <c r="D444" s="15" t="s">
        <v>795</v>
      </c>
      <c r="E444" s="15" t="s">
        <v>109</v>
      </c>
      <c r="F444" s="16" t="s">
        <v>192</v>
      </c>
      <c r="G444" s="16" t="s">
        <v>805</v>
      </c>
      <c r="H444" s="16" t="s">
        <v>34</v>
      </c>
      <c r="I444" s="16" t="s">
        <v>101</v>
      </c>
      <c r="J444" s="17">
        <v>1731250</v>
      </c>
    </row>
    <row r="445" spans="1:10" s="32" customFormat="1" ht="16.5" x14ac:dyDescent="0.3">
      <c r="A445" s="31"/>
      <c r="B445" s="24">
        <v>12179</v>
      </c>
      <c r="C445" s="25" t="s">
        <v>794</v>
      </c>
      <c r="D445" s="25" t="s">
        <v>795</v>
      </c>
      <c r="E445" s="25" t="s">
        <v>109</v>
      </c>
      <c r="F445" s="40" t="s">
        <v>806</v>
      </c>
      <c r="G445" s="41" t="s">
        <v>807</v>
      </c>
      <c r="H445" s="27" t="s">
        <v>88</v>
      </c>
      <c r="I445" s="27" t="s">
        <v>101</v>
      </c>
      <c r="J445" s="17">
        <v>160682</v>
      </c>
    </row>
    <row r="446" spans="1:10" s="32" customFormat="1" ht="16.5" x14ac:dyDescent="0.3">
      <c r="A446" s="31"/>
      <c r="B446" s="33" t="s">
        <v>808</v>
      </c>
      <c r="C446" s="19" t="s">
        <v>794</v>
      </c>
      <c r="D446" s="21" t="s">
        <v>795</v>
      </c>
      <c r="E446" s="21" t="s">
        <v>109</v>
      </c>
      <c r="F446" s="21" t="s">
        <v>809</v>
      </c>
      <c r="G446" s="21" t="s">
        <v>810</v>
      </c>
      <c r="H446" s="21" t="s">
        <v>88</v>
      </c>
      <c r="I446" s="21" t="s">
        <v>101</v>
      </c>
      <c r="J446" s="22">
        <v>41306</v>
      </c>
    </row>
    <row r="447" spans="1:10" s="32" customFormat="1" ht="16.5" x14ac:dyDescent="0.3">
      <c r="A447" s="31"/>
      <c r="B447" s="33" t="s">
        <v>811</v>
      </c>
      <c r="C447" s="19" t="s">
        <v>794</v>
      </c>
      <c r="D447" s="21" t="s">
        <v>795</v>
      </c>
      <c r="E447" s="21" t="s">
        <v>109</v>
      </c>
      <c r="F447" s="21" t="s">
        <v>809</v>
      </c>
      <c r="G447" s="21" t="s">
        <v>812</v>
      </c>
      <c r="H447" s="21" t="s">
        <v>88</v>
      </c>
      <c r="I447" s="21" t="s">
        <v>101</v>
      </c>
      <c r="J447" s="22">
        <v>57272</v>
      </c>
    </row>
    <row r="448" spans="1:10" s="32" customFormat="1" ht="16.5" x14ac:dyDescent="0.3">
      <c r="A448" s="31"/>
      <c r="B448" s="33" t="s">
        <v>813</v>
      </c>
      <c r="C448" s="19" t="s">
        <v>794</v>
      </c>
      <c r="D448" s="21" t="s">
        <v>795</v>
      </c>
      <c r="E448" s="21" t="s">
        <v>109</v>
      </c>
      <c r="F448" s="21" t="s">
        <v>809</v>
      </c>
      <c r="G448" s="21" t="s">
        <v>812</v>
      </c>
      <c r="H448" s="21" t="s">
        <v>88</v>
      </c>
      <c r="I448" s="21" t="s">
        <v>101</v>
      </c>
      <c r="J448" s="22">
        <v>12084</v>
      </c>
    </row>
    <row r="449" spans="1:10" s="32" customFormat="1" ht="16.5" x14ac:dyDescent="0.3">
      <c r="A449" s="31"/>
      <c r="B449" s="13" t="s">
        <v>22</v>
      </c>
      <c r="C449" s="14" t="s">
        <v>814</v>
      </c>
      <c r="D449" s="15" t="s">
        <v>815</v>
      </c>
      <c r="E449" s="15" t="s">
        <v>109</v>
      </c>
      <c r="F449" s="16" t="s">
        <v>22</v>
      </c>
      <c r="G449" s="16" t="s">
        <v>816</v>
      </c>
      <c r="H449" s="16" t="s">
        <v>88</v>
      </c>
      <c r="I449" s="16" t="s">
        <v>817</v>
      </c>
      <c r="J449" s="17">
        <v>167460</v>
      </c>
    </row>
    <row r="450" spans="1:10" s="32" customFormat="1" ht="16.5" x14ac:dyDescent="0.3">
      <c r="A450" s="31"/>
      <c r="B450" s="35">
        <v>12052</v>
      </c>
      <c r="C450" s="14" t="s">
        <v>814</v>
      </c>
      <c r="D450" s="36" t="s">
        <v>815</v>
      </c>
      <c r="E450" s="36" t="s">
        <v>109</v>
      </c>
      <c r="F450" s="16" t="s">
        <v>818</v>
      </c>
      <c r="G450" s="16" t="s">
        <v>819</v>
      </c>
      <c r="H450" s="16" t="s">
        <v>19</v>
      </c>
      <c r="I450" s="16" t="s">
        <v>28</v>
      </c>
      <c r="J450" s="17">
        <v>70992</v>
      </c>
    </row>
    <row r="451" spans="1:10" s="32" customFormat="1" ht="16.5" x14ac:dyDescent="0.3">
      <c r="A451" s="31"/>
      <c r="B451" s="18" t="s">
        <v>22</v>
      </c>
      <c r="C451" s="19" t="s">
        <v>814</v>
      </c>
      <c r="D451" s="20" t="s">
        <v>815</v>
      </c>
      <c r="E451" s="20" t="s">
        <v>109</v>
      </c>
      <c r="F451" s="21" t="s">
        <v>22</v>
      </c>
      <c r="G451" s="21" t="s">
        <v>26</v>
      </c>
      <c r="H451" s="21" t="s">
        <v>27</v>
      </c>
      <c r="I451" s="21" t="s">
        <v>28</v>
      </c>
      <c r="J451" s="22">
        <v>172317.47</v>
      </c>
    </row>
    <row r="452" spans="1:10" s="32" customFormat="1" ht="16.5" x14ac:dyDescent="0.3">
      <c r="A452" s="31"/>
      <c r="B452" s="18" t="s">
        <v>22</v>
      </c>
      <c r="C452" s="19" t="s">
        <v>814</v>
      </c>
      <c r="D452" s="20" t="s">
        <v>815</v>
      </c>
      <c r="E452" s="20" t="s">
        <v>109</v>
      </c>
      <c r="F452" s="21" t="s">
        <v>22</v>
      </c>
      <c r="G452" s="21" t="s">
        <v>35</v>
      </c>
      <c r="H452" s="21" t="s">
        <v>27</v>
      </c>
      <c r="I452" s="21" t="s">
        <v>28</v>
      </c>
      <c r="J452" s="22">
        <v>222709.71</v>
      </c>
    </row>
    <row r="453" spans="1:10" s="32" customFormat="1" ht="44.25" x14ac:dyDescent="0.3">
      <c r="A453" s="31"/>
      <c r="B453" s="13" t="s">
        <v>820</v>
      </c>
      <c r="C453" s="14" t="s">
        <v>731</v>
      </c>
      <c r="D453" s="15" t="s">
        <v>732</v>
      </c>
      <c r="E453" s="15" t="s">
        <v>109</v>
      </c>
      <c r="F453" s="16" t="s">
        <v>821</v>
      </c>
      <c r="G453" s="16" t="s">
        <v>822</v>
      </c>
      <c r="H453" s="16" t="s">
        <v>34</v>
      </c>
      <c r="I453" s="16" t="s">
        <v>28</v>
      </c>
      <c r="J453" s="17">
        <v>15000</v>
      </c>
    </row>
    <row r="454" spans="1:10" x14ac:dyDescent="0.25">
      <c r="B454" s="6" t="s">
        <v>823</v>
      </c>
      <c r="C454" s="6"/>
      <c r="D454" s="6"/>
      <c r="E454" s="6"/>
      <c r="F454" s="6"/>
      <c r="G454" s="6"/>
      <c r="H454" s="7" t="s">
        <v>3</v>
      </c>
      <c r="I454" s="7"/>
      <c r="J454" s="8">
        <f>SUM(J457:J472)</f>
        <v>599105.5</v>
      </c>
    </row>
    <row r="455" spans="1:10" x14ac:dyDescent="0.25">
      <c r="B455" s="6"/>
      <c r="C455" s="6"/>
      <c r="D455" s="6"/>
      <c r="E455" s="6"/>
      <c r="F455" s="6"/>
      <c r="G455" s="6"/>
      <c r="H455" s="7"/>
      <c r="I455" s="7"/>
      <c r="J455" s="9"/>
    </row>
    <row r="456" spans="1:10" ht="29.25" x14ac:dyDescent="0.25">
      <c r="B456" s="10" t="s">
        <v>4</v>
      </c>
      <c r="C456" s="10" t="s">
        <v>5</v>
      </c>
      <c r="D456" s="10" t="s">
        <v>6</v>
      </c>
      <c r="E456" s="10" t="s">
        <v>7</v>
      </c>
      <c r="F456" s="10" t="s">
        <v>8</v>
      </c>
      <c r="G456" s="10" t="s">
        <v>9</v>
      </c>
      <c r="H456" s="10" t="s">
        <v>10</v>
      </c>
      <c r="I456" s="10" t="s">
        <v>11</v>
      </c>
      <c r="J456" s="11" t="s">
        <v>12</v>
      </c>
    </row>
    <row r="457" spans="1:10" x14ac:dyDescent="0.25">
      <c r="B457" s="13" t="s">
        <v>824</v>
      </c>
      <c r="C457" s="14" t="s">
        <v>825</v>
      </c>
      <c r="D457" s="15" t="s">
        <v>826</v>
      </c>
      <c r="E457" s="15" t="s">
        <v>827</v>
      </c>
      <c r="F457" s="16" t="s">
        <v>828</v>
      </c>
      <c r="G457" s="16" t="s">
        <v>829</v>
      </c>
      <c r="H457" s="16" t="s">
        <v>73</v>
      </c>
      <c r="I457" s="16" t="s">
        <v>28</v>
      </c>
      <c r="J457" s="17">
        <v>900</v>
      </c>
    </row>
    <row r="458" spans="1:10" x14ac:dyDescent="0.25">
      <c r="B458" s="13" t="s">
        <v>830</v>
      </c>
      <c r="C458" s="14" t="s">
        <v>831</v>
      </c>
      <c r="D458" s="15" t="s">
        <v>826</v>
      </c>
      <c r="E458" s="15" t="s">
        <v>827</v>
      </c>
      <c r="F458" s="16" t="s">
        <v>687</v>
      </c>
      <c r="G458" s="16" t="s">
        <v>832</v>
      </c>
      <c r="H458" s="16" t="s">
        <v>73</v>
      </c>
      <c r="I458" s="16" t="s">
        <v>41</v>
      </c>
      <c r="J458" s="17">
        <v>1200</v>
      </c>
    </row>
    <row r="459" spans="1:10" x14ac:dyDescent="0.25">
      <c r="B459" s="13" t="s">
        <v>833</v>
      </c>
      <c r="C459" s="14" t="s">
        <v>831</v>
      </c>
      <c r="D459" s="15" t="s">
        <v>826</v>
      </c>
      <c r="E459" s="15" t="s">
        <v>827</v>
      </c>
      <c r="F459" s="16" t="s">
        <v>62</v>
      </c>
      <c r="G459" s="16" t="s">
        <v>834</v>
      </c>
      <c r="H459" s="16" t="s">
        <v>19</v>
      </c>
      <c r="I459" s="16" t="s">
        <v>28</v>
      </c>
      <c r="J459" s="17">
        <v>1500</v>
      </c>
    </row>
    <row r="460" spans="1:10" x14ac:dyDescent="0.25">
      <c r="B460" s="13" t="s">
        <v>835</v>
      </c>
      <c r="C460" s="14" t="s">
        <v>836</v>
      </c>
      <c r="D460" s="15" t="s">
        <v>826</v>
      </c>
      <c r="E460" s="15" t="s">
        <v>827</v>
      </c>
      <c r="F460" s="16" t="s">
        <v>828</v>
      </c>
      <c r="G460" s="16" t="s">
        <v>837</v>
      </c>
      <c r="H460" s="16" t="s">
        <v>73</v>
      </c>
      <c r="I460" s="16" t="s">
        <v>20</v>
      </c>
      <c r="J460" s="17">
        <v>2000</v>
      </c>
    </row>
    <row r="461" spans="1:10" x14ac:dyDescent="0.25">
      <c r="B461" s="13" t="s">
        <v>838</v>
      </c>
      <c r="C461" s="14" t="s">
        <v>839</v>
      </c>
      <c r="D461" s="15" t="s">
        <v>826</v>
      </c>
      <c r="E461" s="15" t="s">
        <v>827</v>
      </c>
      <c r="F461" s="16" t="s">
        <v>840</v>
      </c>
      <c r="G461" s="16" t="s">
        <v>841</v>
      </c>
      <c r="H461" s="16" t="s">
        <v>73</v>
      </c>
      <c r="I461" s="16" t="s">
        <v>268</v>
      </c>
      <c r="J461" s="17">
        <v>5000</v>
      </c>
    </row>
    <row r="462" spans="1:10" ht="29.25" x14ac:dyDescent="0.25">
      <c r="B462" s="13" t="s">
        <v>842</v>
      </c>
      <c r="C462" s="14" t="s">
        <v>843</v>
      </c>
      <c r="D462" s="15" t="s">
        <v>826</v>
      </c>
      <c r="E462" s="15" t="s">
        <v>827</v>
      </c>
      <c r="F462" s="16" t="s">
        <v>844</v>
      </c>
      <c r="G462" s="16" t="s">
        <v>845</v>
      </c>
      <c r="H462" s="16" t="s">
        <v>73</v>
      </c>
      <c r="I462" s="16" t="s">
        <v>268</v>
      </c>
      <c r="J462" s="17">
        <f>11512*50%</f>
        <v>5756</v>
      </c>
    </row>
    <row r="463" spans="1:10" ht="29.25" x14ac:dyDescent="0.25">
      <c r="B463" s="13" t="s">
        <v>842</v>
      </c>
      <c r="C463" s="14" t="s">
        <v>846</v>
      </c>
      <c r="D463" s="15" t="s">
        <v>826</v>
      </c>
      <c r="E463" s="15" t="s">
        <v>827</v>
      </c>
      <c r="F463" s="16" t="s">
        <v>844</v>
      </c>
      <c r="G463" s="16" t="s">
        <v>845</v>
      </c>
      <c r="H463" s="16" t="s">
        <v>73</v>
      </c>
      <c r="I463" s="16" t="s">
        <v>268</v>
      </c>
      <c r="J463" s="17">
        <f>11512*50%</f>
        <v>5756</v>
      </c>
    </row>
    <row r="464" spans="1:10" ht="29.25" x14ac:dyDescent="0.25">
      <c r="B464" s="13" t="s">
        <v>847</v>
      </c>
      <c r="C464" s="14" t="s">
        <v>843</v>
      </c>
      <c r="D464" s="15" t="s">
        <v>826</v>
      </c>
      <c r="E464" s="15" t="s">
        <v>827</v>
      </c>
      <c r="F464" s="16" t="s">
        <v>844</v>
      </c>
      <c r="G464" s="16" t="s">
        <v>845</v>
      </c>
      <c r="H464" s="16" t="s">
        <v>73</v>
      </c>
      <c r="I464" s="16" t="s">
        <v>268</v>
      </c>
      <c r="J464" s="17">
        <v>11200</v>
      </c>
    </row>
    <row r="465" spans="1:10" ht="29.25" x14ac:dyDescent="0.25">
      <c r="B465" s="13" t="s">
        <v>848</v>
      </c>
      <c r="C465" s="14" t="s">
        <v>849</v>
      </c>
      <c r="D465" s="15" t="s">
        <v>826</v>
      </c>
      <c r="E465" s="15" t="s">
        <v>827</v>
      </c>
      <c r="F465" s="16" t="s">
        <v>45</v>
      </c>
      <c r="G465" s="16" t="s">
        <v>850</v>
      </c>
      <c r="H465" s="16" t="s">
        <v>34</v>
      </c>
      <c r="I465" s="16" t="s">
        <v>41</v>
      </c>
      <c r="J465" s="17">
        <v>55000</v>
      </c>
    </row>
    <row r="466" spans="1:10" ht="29.25" x14ac:dyDescent="0.25">
      <c r="B466" s="13" t="s">
        <v>136</v>
      </c>
      <c r="C466" s="14" t="s">
        <v>851</v>
      </c>
      <c r="D466" s="15" t="s">
        <v>826</v>
      </c>
      <c r="E466" s="15" t="s">
        <v>827</v>
      </c>
      <c r="F466" s="16" t="s">
        <v>81</v>
      </c>
      <c r="G466" s="16" t="s">
        <v>852</v>
      </c>
      <c r="H466" s="16" t="s">
        <v>19</v>
      </c>
      <c r="I466" s="16" t="s">
        <v>41</v>
      </c>
      <c r="J466" s="17">
        <f>486425*15%</f>
        <v>72963.75</v>
      </c>
    </row>
    <row r="467" spans="1:10" ht="29.25" x14ac:dyDescent="0.25">
      <c r="B467" s="13" t="s">
        <v>853</v>
      </c>
      <c r="C467" s="14" t="s">
        <v>839</v>
      </c>
      <c r="D467" s="15" t="s">
        <v>826</v>
      </c>
      <c r="E467" s="15" t="s">
        <v>827</v>
      </c>
      <c r="F467" s="16" t="s">
        <v>81</v>
      </c>
      <c r="G467" s="16" t="s">
        <v>854</v>
      </c>
      <c r="H467" s="16" t="s">
        <v>19</v>
      </c>
      <c r="I467" s="16" t="s">
        <v>83</v>
      </c>
      <c r="J467" s="17">
        <v>100000</v>
      </c>
    </row>
    <row r="468" spans="1:10" ht="29.25" x14ac:dyDescent="0.25">
      <c r="B468" s="13" t="s">
        <v>855</v>
      </c>
      <c r="C468" s="14" t="s">
        <v>856</v>
      </c>
      <c r="D468" s="15" t="s">
        <v>826</v>
      </c>
      <c r="E468" s="15" t="s">
        <v>827</v>
      </c>
      <c r="F468" s="16" t="s">
        <v>857</v>
      </c>
      <c r="G468" s="16" t="s">
        <v>858</v>
      </c>
      <c r="H468" s="16" t="s">
        <v>19</v>
      </c>
      <c r="I468" s="16" t="s">
        <v>41</v>
      </c>
      <c r="J468" s="17">
        <v>147538.75</v>
      </c>
    </row>
    <row r="469" spans="1:10" ht="29.25" x14ac:dyDescent="0.25">
      <c r="A469" s="29"/>
      <c r="B469" s="50">
        <v>12167</v>
      </c>
      <c r="C469" s="46" t="s">
        <v>859</v>
      </c>
      <c r="D469" s="46" t="s">
        <v>826</v>
      </c>
      <c r="E469" s="46" t="s">
        <v>827</v>
      </c>
      <c r="F469" s="19" t="s">
        <v>81</v>
      </c>
      <c r="G469" s="47" t="s">
        <v>860</v>
      </c>
      <c r="H469" s="27" t="s">
        <v>19</v>
      </c>
      <c r="I469" s="27" t="s">
        <v>268</v>
      </c>
      <c r="J469" s="17">
        <v>25000</v>
      </c>
    </row>
    <row r="470" spans="1:10" ht="29.25" x14ac:dyDescent="0.25">
      <c r="A470" s="29"/>
      <c r="B470" s="43">
        <v>12177</v>
      </c>
      <c r="C470" s="25" t="s">
        <v>861</v>
      </c>
      <c r="D470" s="25" t="s">
        <v>826</v>
      </c>
      <c r="E470" s="25" t="s">
        <v>827</v>
      </c>
      <c r="F470" s="40" t="s">
        <v>114</v>
      </c>
      <c r="G470" s="41" t="s">
        <v>862</v>
      </c>
      <c r="H470" s="27" t="s">
        <v>34</v>
      </c>
      <c r="I470" s="27" t="s">
        <v>101</v>
      </c>
      <c r="J470" s="17">
        <v>150291</v>
      </c>
    </row>
    <row r="471" spans="1:10" x14ac:dyDescent="0.25">
      <c r="A471" s="29"/>
      <c r="B471" s="43">
        <v>12178</v>
      </c>
      <c r="C471" s="25" t="s">
        <v>831</v>
      </c>
      <c r="D471" s="25" t="s">
        <v>826</v>
      </c>
      <c r="E471" s="25" t="s">
        <v>827</v>
      </c>
      <c r="F471" s="40" t="s">
        <v>62</v>
      </c>
      <c r="G471" s="41" t="s">
        <v>863</v>
      </c>
      <c r="H471" s="27" t="s">
        <v>19</v>
      </c>
      <c r="I471" s="27" t="s">
        <v>41</v>
      </c>
      <c r="J471" s="17">
        <v>5000</v>
      </c>
    </row>
    <row r="472" spans="1:10" x14ac:dyDescent="0.25">
      <c r="A472" s="29"/>
      <c r="B472" s="43">
        <v>12181</v>
      </c>
      <c r="C472" s="25" t="s">
        <v>864</v>
      </c>
      <c r="D472" s="25" t="s">
        <v>826</v>
      </c>
      <c r="E472" s="25" t="s">
        <v>827</v>
      </c>
      <c r="F472" s="40" t="s">
        <v>456</v>
      </c>
      <c r="G472" s="41" t="s">
        <v>865</v>
      </c>
      <c r="H472" s="27" t="s">
        <v>19</v>
      </c>
      <c r="I472" s="27" t="s">
        <v>28</v>
      </c>
      <c r="J472" s="17">
        <v>10000</v>
      </c>
    </row>
  </sheetData>
  <mergeCells count="42">
    <mergeCell ref="B407:G408"/>
    <mergeCell ref="H407:I408"/>
    <mergeCell ref="J407:J408"/>
    <mergeCell ref="B454:G455"/>
    <mergeCell ref="H454:I455"/>
    <mergeCell ref="J454:J455"/>
    <mergeCell ref="B360:G361"/>
    <mergeCell ref="H360:I361"/>
    <mergeCell ref="J360:J361"/>
    <mergeCell ref="B366:G367"/>
    <mergeCell ref="H366:I367"/>
    <mergeCell ref="J366:J367"/>
    <mergeCell ref="B350:G351"/>
    <mergeCell ref="H350:I351"/>
    <mergeCell ref="J350:J351"/>
    <mergeCell ref="B354:G355"/>
    <mergeCell ref="H354:I355"/>
    <mergeCell ref="J354:J355"/>
    <mergeCell ref="B151:G152"/>
    <mergeCell ref="H151:I152"/>
    <mergeCell ref="J151:J152"/>
    <mergeCell ref="B211:G212"/>
    <mergeCell ref="H211:I212"/>
    <mergeCell ref="J211:J212"/>
    <mergeCell ref="B48:G49"/>
    <mergeCell ref="H48:I49"/>
    <mergeCell ref="J48:J49"/>
    <mergeCell ref="B97:G98"/>
    <mergeCell ref="H97:I98"/>
    <mergeCell ref="J97:J98"/>
    <mergeCell ref="B8:G9"/>
    <mergeCell ref="H8:I9"/>
    <mergeCell ref="J8:J9"/>
    <mergeCell ref="B25:G26"/>
    <mergeCell ref="H25:I26"/>
    <mergeCell ref="J25:J26"/>
    <mergeCell ref="A1:F3"/>
    <mergeCell ref="G1:I3"/>
    <mergeCell ref="J1:K3"/>
    <mergeCell ref="B4:G5"/>
    <mergeCell ref="H4:I5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Submitted</vt:lpstr>
    </vt:vector>
  </TitlesOfParts>
  <Company>Missouri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bks279</dc:creator>
  <cp:lastModifiedBy>bks279</cp:lastModifiedBy>
  <dcterms:created xsi:type="dcterms:W3CDTF">2012-07-27T15:19:07Z</dcterms:created>
  <dcterms:modified xsi:type="dcterms:W3CDTF">2012-07-27T15:19:31Z</dcterms:modified>
</cp:coreProperties>
</file>